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3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workbookPassword="971E" lockStructure="1"/>
  <bookViews>
    <workbookView xWindow="0" yWindow="0" windowWidth="9456" windowHeight="8688" tabRatio="937"/>
  </bookViews>
  <sheets>
    <sheet name="Table" sheetId="79" r:id="rId1"/>
    <sheet name="Knockout" sheetId="81" r:id="rId2"/>
    <sheet name="Knockout Paprika" sheetId="82" r:id="rId3"/>
    <sheet name="Table Last 16 help" sheetId="73" state="hidden" r:id="rId4"/>
    <sheet name="Gr. A" sheetId="114" r:id="rId5"/>
    <sheet name="Gr. A+" sheetId="115" r:id="rId6"/>
    <sheet name="Gr. A res" sheetId="116" state="hidden" r:id="rId7"/>
    <sheet name="Gr. B" sheetId="117" r:id="rId8"/>
    <sheet name="Gr. B+" sheetId="118" r:id="rId9"/>
    <sheet name="Gr. B res" sheetId="119" state="hidden" r:id="rId10"/>
    <sheet name="Gr. C" sheetId="120" r:id="rId11"/>
    <sheet name="Gr. C+" sheetId="121" r:id="rId12"/>
    <sheet name="Gr. C res" sheetId="122" state="hidden" r:id="rId13"/>
    <sheet name="Gr. D" sheetId="123" r:id="rId14"/>
    <sheet name="Gr. D+" sheetId="124" r:id="rId15"/>
    <sheet name="Gr. D res" sheetId="125" state="hidden" r:id="rId16"/>
    <sheet name="Gr. E" sheetId="126" r:id="rId17"/>
    <sheet name="Gr. E+" sheetId="127" r:id="rId18"/>
    <sheet name="Gr. E res" sheetId="128" state="hidden" r:id="rId19"/>
    <sheet name="Gr. F" sheetId="129" r:id="rId20"/>
    <sheet name="Gr. F+" sheetId="130" r:id="rId21"/>
    <sheet name="Gr. F res" sheetId="131" state="hidden" r:id="rId22"/>
    <sheet name="Players-Teams" sheetId="83" state="hidden" r:id="rId23"/>
    <sheet name="Master" sheetId="14" r:id="rId24"/>
    <sheet name="Master+" sheetId="15" r:id="rId25"/>
    <sheet name="Master res" sheetId="38" state="hidden" r:id="rId26"/>
    <sheet name="Super" sheetId="51" r:id="rId27"/>
    <sheet name="Super+" sheetId="52" r:id="rId28"/>
    <sheet name="Super res" sheetId="53" state="hidden" r:id="rId29"/>
    <sheet name="2ndA" sheetId="54" r:id="rId30"/>
    <sheet name="2ndA+" sheetId="55" r:id="rId31"/>
    <sheet name="2ndA res" sheetId="56" state="hidden" r:id="rId32"/>
    <sheet name="2ndB" sheetId="58" r:id="rId33"/>
    <sheet name="2ndB+" sheetId="59" r:id="rId34"/>
    <sheet name="2ndB res" sheetId="60" state="hidden" r:id="rId35"/>
    <sheet name="2ndAB" sheetId="75" state="hidden" r:id="rId36"/>
  </sheets>
  <externalReferences>
    <externalReference r:id="rId37"/>
  </externalReferences>
  <definedNames>
    <definedName name="home" localSheetId="31">'2ndA res'!$A$13:$A$43</definedName>
    <definedName name="home" localSheetId="35">'2ndAB'!#REF!</definedName>
    <definedName name="home" localSheetId="34">'2ndB res'!$A$13:$A$43</definedName>
    <definedName name="home" localSheetId="4">[1]GroupA!$A$14:$A$56</definedName>
    <definedName name="home" localSheetId="6">'Gr. A res'!$A$14:$A$56</definedName>
    <definedName name="home" localSheetId="5">[1]GroupA!$A$14:$A$56</definedName>
    <definedName name="home" localSheetId="7">#REF!</definedName>
    <definedName name="home" localSheetId="9">'Gr. B res'!$A$13:$A$43</definedName>
    <definedName name="home" localSheetId="8">#REF!</definedName>
    <definedName name="home" localSheetId="10">#REF!</definedName>
    <definedName name="home" localSheetId="12">'Gr. C res'!$A$13:$A$43</definedName>
    <definedName name="home" localSheetId="11">#REF!</definedName>
    <definedName name="home" localSheetId="13">#REF!</definedName>
    <definedName name="home" localSheetId="15">'Gr. D res'!$A$13:$A$43</definedName>
    <definedName name="home" localSheetId="14">#REF!</definedName>
    <definedName name="home" localSheetId="16">#REF!</definedName>
    <definedName name="home" localSheetId="18">'Gr. E res'!$A$13:$A$43</definedName>
    <definedName name="home" localSheetId="17">#REF!</definedName>
    <definedName name="home" localSheetId="19">#REF!</definedName>
    <definedName name="home" localSheetId="21">'Gr. F res'!$A$13:$A$43</definedName>
    <definedName name="home" localSheetId="20">#REF!</definedName>
    <definedName name="home" localSheetId="25">'Master res'!$A$13:$A$43</definedName>
    <definedName name="home" localSheetId="28">'Super res'!$A$13:$A$43</definedName>
    <definedName name="home">#REF!</definedName>
    <definedName name="homescore" localSheetId="31">'2ndA res'!$C$13:$C$43</definedName>
    <definedName name="homescore" localSheetId="35">'2ndAB'!#REF!</definedName>
    <definedName name="homescore" localSheetId="34">'2ndB res'!$C$13:$C$43</definedName>
    <definedName name="homescore" localSheetId="4">[1]GroupA!$C$14:$C$56</definedName>
    <definedName name="homescore" localSheetId="6">'Gr. A res'!$C$14:$C$56</definedName>
    <definedName name="homescore" localSheetId="5">[1]GroupA!$C$14:$C$56</definedName>
    <definedName name="homescore" localSheetId="7">#REF!</definedName>
    <definedName name="homescore" localSheetId="9">'Gr. B res'!$C$13:$C$43</definedName>
    <definedName name="homescore" localSheetId="8">#REF!</definedName>
    <definedName name="homescore" localSheetId="10">#REF!</definedName>
    <definedName name="homescore" localSheetId="12">'Gr. C res'!$C$13:$C$43</definedName>
    <definedName name="homescore" localSheetId="11">#REF!</definedName>
    <definedName name="homescore" localSheetId="13">#REF!</definedName>
    <definedName name="homescore" localSheetId="15">'Gr. D res'!$C$13:$C$43</definedName>
    <definedName name="homescore" localSheetId="14">#REF!</definedName>
    <definedName name="homescore" localSheetId="16">#REF!</definedName>
    <definedName name="homescore" localSheetId="18">'Gr. E res'!$C$13:$C$43</definedName>
    <definedName name="homescore" localSheetId="17">#REF!</definedName>
    <definedName name="homescore" localSheetId="19">#REF!</definedName>
    <definedName name="homescore" localSheetId="21">'Gr. F res'!$C$13:$C$43</definedName>
    <definedName name="homescore" localSheetId="20">#REF!</definedName>
    <definedName name="homescore" localSheetId="25">'Master res'!$C$13:$C$43</definedName>
    <definedName name="homescore" localSheetId="28">'Super res'!$C$13:$C$43</definedName>
    <definedName name="homescore">#REF!</definedName>
    <definedName name="visitor" localSheetId="31">'2ndA res'!$B$13:$B$43</definedName>
    <definedName name="visitor" localSheetId="35">'2ndAB'!#REF!</definedName>
    <definedName name="visitor" localSheetId="34">'2ndB res'!$B$13:$B$43</definedName>
    <definedName name="visitor" localSheetId="4">[1]GroupA!$B$14:$B$56</definedName>
    <definedName name="visitor" localSheetId="6">'Gr. A res'!$B$14:$B$56</definedName>
    <definedName name="visitor" localSheetId="5">[1]GroupA!$B$14:$B$56</definedName>
    <definedName name="visitor" localSheetId="7">#REF!</definedName>
    <definedName name="visitor" localSheetId="9">'Gr. B res'!$B$13:$B$43</definedName>
    <definedName name="visitor" localSheetId="8">#REF!</definedName>
    <definedName name="visitor" localSheetId="10">#REF!</definedName>
    <definedName name="visitor" localSheetId="12">'Gr. C res'!$B$13:$B$43</definedName>
    <definedName name="visitor" localSheetId="11">#REF!</definedName>
    <definedName name="visitor" localSheetId="13">#REF!</definedName>
    <definedName name="visitor" localSheetId="15">'Gr. D res'!$B$13:$B$43</definedName>
    <definedName name="visitor" localSheetId="14">#REF!</definedName>
    <definedName name="visitor" localSheetId="16">#REF!</definedName>
    <definedName name="visitor" localSheetId="18">'Gr. E res'!$B$13:$B$43</definedName>
    <definedName name="visitor" localSheetId="17">#REF!</definedName>
    <definedName name="visitor" localSheetId="19">#REF!</definedName>
    <definedName name="visitor" localSheetId="21">'Gr. F res'!$B$13:$B$43</definedName>
    <definedName name="visitor" localSheetId="20">#REF!</definedName>
    <definedName name="visitor" localSheetId="25">'Master res'!$B$13:$B$43</definedName>
    <definedName name="visitor" localSheetId="28">'Super res'!$B$13:$B$43</definedName>
    <definedName name="visitor">#REF!</definedName>
    <definedName name="visitorscore" localSheetId="31">'2ndA res'!$E$13:$E$43</definedName>
    <definedName name="visitorscore" localSheetId="35">'2ndAB'!#REF!</definedName>
    <definedName name="visitorscore" localSheetId="34">'2ndB res'!$E$13:$E$43</definedName>
    <definedName name="visitorscore" localSheetId="4">[1]GroupA!$E$14:$E$56</definedName>
    <definedName name="visitorscore" localSheetId="6">'Gr. A res'!$E$14:$E$56</definedName>
    <definedName name="visitorscore" localSheetId="5">[1]GroupA!$E$14:$E$56</definedName>
    <definedName name="visitorscore" localSheetId="7">#REF!</definedName>
    <definedName name="visitorscore" localSheetId="9">'Gr. B res'!$E$13:$E$43</definedName>
    <definedName name="visitorscore" localSheetId="8">#REF!</definedName>
    <definedName name="visitorscore" localSheetId="10">#REF!</definedName>
    <definedName name="visitorscore" localSheetId="12">'Gr. C res'!$E$13:$E$43</definedName>
    <definedName name="visitorscore" localSheetId="11">#REF!</definedName>
    <definedName name="visitorscore" localSheetId="13">#REF!</definedName>
    <definedName name="visitorscore" localSheetId="15">'Gr. D res'!$E$13:$E$43</definedName>
    <definedName name="visitorscore" localSheetId="14">#REF!</definedName>
    <definedName name="visitorscore" localSheetId="16">#REF!</definedName>
    <definedName name="visitorscore" localSheetId="18">'Gr. E res'!$E$13:$E$43</definedName>
    <definedName name="visitorscore" localSheetId="17">#REF!</definedName>
    <definedName name="visitorscore" localSheetId="19">#REF!</definedName>
    <definedName name="visitorscore" localSheetId="21">'Gr. F res'!$E$13:$E$43</definedName>
    <definedName name="visitorscore" localSheetId="20">#REF!</definedName>
    <definedName name="visitorscore" localSheetId="25">'Master res'!$E$13:$E$43</definedName>
    <definedName name="visitorscore" localSheetId="28">'Super res'!$E$13:$E$43</definedName>
    <definedName name="visitorscore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14" l="1"/>
  <c r="J3" i="58" l="1"/>
  <c r="J4" i="58"/>
  <c r="J2" i="58"/>
  <c r="B3" i="58"/>
  <c r="B4" i="58"/>
  <c r="J4" i="51" l="1"/>
  <c r="J3" i="51"/>
  <c r="J2" i="51"/>
  <c r="B3" i="51"/>
  <c r="B4" i="51"/>
  <c r="J3" i="14"/>
  <c r="J4" i="14"/>
  <c r="J2" i="14"/>
  <c r="B3" i="14"/>
  <c r="B4" i="14"/>
  <c r="E13" i="59"/>
  <c r="E12" i="59"/>
  <c r="E11" i="59"/>
  <c r="E10" i="59"/>
  <c r="E9" i="59"/>
  <c r="J3" i="54"/>
  <c r="J4" i="54"/>
  <c r="J2" i="54"/>
  <c r="B3" i="54"/>
  <c r="B4" i="54"/>
  <c r="E13" i="55"/>
  <c r="E12" i="55"/>
  <c r="E11" i="55"/>
  <c r="E10" i="55"/>
  <c r="E9" i="55"/>
  <c r="E13" i="52"/>
  <c r="E12" i="52"/>
  <c r="E11" i="52"/>
  <c r="E10" i="52"/>
  <c r="E9" i="52"/>
  <c r="E13" i="15"/>
  <c r="E12" i="15"/>
  <c r="E42" i="131"/>
  <c r="C42" i="131"/>
  <c r="E41" i="131"/>
  <c r="C41" i="131"/>
  <c r="E40" i="131"/>
  <c r="C40" i="131"/>
  <c r="E39" i="131"/>
  <c r="C39" i="131"/>
  <c r="E38" i="131"/>
  <c r="C38" i="131"/>
  <c r="E37" i="131"/>
  <c r="C37" i="131"/>
  <c r="E36" i="131"/>
  <c r="C36" i="131"/>
  <c r="E35" i="131"/>
  <c r="C35" i="131"/>
  <c r="E34" i="131"/>
  <c r="C34" i="131"/>
  <c r="E33" i="131"/>
  <c r="C33" i="131"/>
  <c r="E32" i="131"/>
  <c r="C32" i="131"/>
  <c r="E31" i="131"/>
  <c r="C31" i="131"/>
  <c r="E30" i="131"/>
  <c r="C30" i="131"/>
  <c r="E29" i="131"/>
  <c r="C29" i="131"/>
  <c r="E28" i="131"/>
  <c r="C28" i="131"/>
  <c r="E27" i="131"/>
  <c r="C27" i="131"/>
  <c r="E26" i="131"/>
  <c r="C26" i="131"/>
  <c r="E25" i="131"/>
  <c r="C25" i="131"/>
  <c r="E24" i="131"/>
  <c r="C24" i="131"/>
  <c r="E23" i="131"/>
  <c r="C23" i="131"/>
  <c r="E22" i="131"/>
  <c r="C22" i="131"/>
  <c r="E21" i="131"/>
  <c r="C21" i="131"/>
  <c r="E20" i="131"/>
  <c r="C20" i="131"/>
  <c r="E19" i="131"/>
  <c r="C19" i="131"/>
  <c r="E18" i="131"/>
  <c r="C18" i="131"/>
  <c r="E17" i="131"/>
  <c r="C17" i="131"/>
  <c r="E16" i="131"/>
  <c r="C16" i="131"/>
  <c r="E15" i="131"/>
  <c r="C15" i="131"/>
  <c r="E14" i="131"/>
  <c r="C14" i="131"/>
  <c r="E13" i="131"/>
  <c r="C13" i="131"/>
  <c r="A9" i="131"/>
  <c r="S8" i="131" s="1"/>
  <c r="A8" i="131"/>
  <c r="S7" i="131" s="1"/>
  <c r="A7" i="131"/>
  <c r="S6" i="131" s="1"/>
  <c r="A6" i="131"/>
  <c r="A5" i="131"/>
  <c r="S4" i="131" s="1"/>
  <c r="A4" i="131"/>
  <c r="S3" i="131" s="1"/>
  <c r="A1" i="131"/>
  <c r="L21" i="129"/>
  <c r="B42" i="131" s="1"/>
  <c r="J21" i="129"/>
  <c r="A42" i="131" s="1"/>
  <c r="D21" i="129"/>
  <c r="B27" i="131" s="1"/>
  <c r="B21" i="129"/>
  <c r="A27" i="131" s="1"/>
  <c r="L20" i="129"/>
  <c r="B41" i="131" s="1"/>
  <c r="J20" i="129"/>
  <c r="A41" i="131" s="1"/>
  <c r="D20" i="129"/>
  <c r="B26" i="131" s="1"/>
  <c r="B20" i="129"/>
  <c r="A26" i="131" s="1"/>
  <c r="L19" i="129"/>
  <c r="B40" i="131" s="1"/>
  <c r="J19" i="129"/>
  <c r="A40" i="131" s="1"/>
  <c r="D19" i="129"/>
  <c r="B25" i="131" s="1"/>
  <c r="B19" i="129"/>
  <c r="A25" i="131" s="1"/>
  <c r="L18" i="129"/>
  <c r="B39" i="131" s="1"/>
  <c r="J18" i="129"/>
  <c r="A39" i="131" s="1"/>
  <c r="D18" i="129"/>
  <c r="B24" i="131" s="1"/>
  <c r="B18" i="129"/>
  <c r="A24" i="131" s="1"/>
  <c r="L17" i="129"/>
  <c r="B38" i="131" s="1"/>
  <c r="J17" i="129"/>
  <c r="A38" i="131" s="1"/>
  <c r="D17" i="129"/>
  <c r="B23" i="131" s="1"/>
  <c r="B17" i="129"/>
  <c r="A23" i="131" s="1"/>
  <c r="L16" i="129"/>
  <c r="B37" i="131" s="1"/>
  <c r="J16" i="129"/>
  <c r="A37" i="131" s="1"/>
  <c r="D16" i="129"/>
  <c r="B22" i="131" s="1"/>
  <c r="B16" i="129"/>
  <c r="A22" i="131" s="1"/>
  <c r="L15" i="129"/>
  <c r="B36" i="131" s="1"/>
  <c r="J15" i="129"/>
  <c r="A36" i="131" s="1"/>
  <c r="D15" i="129"/>
  <c r="B21" i="131" s="1"/>
  <c r="B15" i="129"/>
  <c r="A21" i="131" s="1"/>
  <c r="L14" i="129"/>
  <c r="B35" i="131" s="1"/>
  <c r="J14" i="129"/>
  <c r="A35" i="131" s="1"/>
  <c r="D14" i="129"/>
  <c r="B20" i="131" s="1"/>
  <c r="B14" i="129"/>
  <c r="A20" i="131" s="1"/>
  <c r="L13" i="129"/>
  <c r="B34" i="131" s="1"/>
  <c r="J13" i="129"/>
  <c r="A34" i="131" s="1"/>
  <c r="D13" i="129"/>
  <c r="B19" i="131" s="1"/>
  <c r="B13" i="129"/>
  <c r="A19" i="131" s="1"/>
  <c r="L12" i="129"/>
  <c r="B33" i="131" s="1"/>
  <c r="J12" i="129"/>
  <c r="A33" i="131" s="1"/>
  <c r="D12" i="129"/>
  <c r="B18" i="131" s="1"/>
  <c r="B12" i="129"/>
  <c r="A18" i="131" s="1"/>
  <c r="L11" i="129"/>
  <c r="B32" i="131" s="1"/>
  <c r="J11" i="129"/>
  <c r="A32" i="131" s="1"/>
  <c r="D11" i="129"/>
  <c r="B17" i="131" s="1"/>
  <c r="B11" i="129"/>
  <c r="A17" i="131" s="1"/>
  <c r="L10" i="129"/>
  <c r="B31" i="131" s="1"/>
  <c r="J10" i="129"/>
  <c r="A31" i="131" s="1"/>
  <c r="D10" i="129"/>
  <c r="B16" i="131" s="1"/>
  <c r="B10" i="129"/>
  <c r="A16" i="131" s="1"/>
  <c r="L9" i="129"/>
  <c r="B30" i="131" s="1"/>
  <c r="J9" i="129"/>
  <c r="A30" i="131" s="1"/>
  <c r="D9" i="129"/>
  <c r="B15" i="131" s="1"/>
  <c r="B9" i="129"/>
  <c r="A15" i="131" s="1"/>
  <c r="L8" i="129"/>
  <c r="B29" i="131" s="1"/>
  <c r="J8" i="129"/>
  <c r="A29" i="131" s="1"/>
  <c r="D8" i="129"/>
  <c r="B14" i="131" s="1"/>
  <c r="B8" i="129"/>
  <c r="A14" i="131" s="1"/>
  <c r="L7" i="129"/>
  <c r="B28" i="131" s="1"/>
  <c r="J7" i="129"/>
  <c r="A28" i="131" s="1"/>
  <c r="D7" i="129"/>
  <c r="B13" i="131" s="1"/>
  <c r="B7" i="129"/>
  <c r="A13" i="131" s="1"/>
  <c r="J4" i="129"/>
  <c r="B4" i="129"/>
  <c r="J3" i="129"/>
  <c r="B3" i="129"/>
  <c r="J2" i="129"/>
  <c r="E2" i="129"/>
  <c r="B2" i="129"/>
  <c r="T8" i="131" a="1"/>
  <c r="V4" i="131" a="1"/>
  <c r="V8" i="131" a="1"/>
  <c r="W8" i="131" a="1"/>
  <c r="U8" i="131" a="1"/>
  <c r="S5" i="131"/>
  <c r="W4" i="131" a="1"/>
  <c r="U4" i="131" a="1"/>
  <c r="E42" i="128"/>
  <c r="C42" i="128"/>
  <c r="E41" i="128"/>
  <c r="C41" i="128"/>
  <c r="E40" i="128"/>
  <c r="C40" i="128"/>
  <c r="E39" i="128"/>
  <c r="C39" i="128"/>
  <c r="E38" i="128"/>
  <c r="C38" i="128"/>
  <c r="E37" i="128"/>
  <c r="C37" i="128"/>
  <c r="E36" i="128"/>
  <c r="C36" i="128"/>
  <c r="E35" i="128"/>
  <c r="C35" i="128"/>
  <c r="E34" i="128"/>
  <c r="C34" i="128"/>
  <c r="E33" i="128"/>
  <c r="C33" i="128"/>
  <c r="E32" i="128"/>
  <c r="C32" i="128"/>
  <c r="E31" i="128"/>
  <c r="C31" i="128"/>
  <c r="E30" i="128"/>
  <c r="C30" i="128"/>
  <c r="E29" i="128"/>
  <c r="C29" i="128"/>
  <c r="E28" i="128"/>
  <c r="C28" i="128"/>
  <c r="E27" i="128"/>
  <c r="C27" i="128"/>
  <c r="E26" i="128"/>
  <c r="C26" i="128"/>
  <c r="E25" i="128"/>
  <c r="C25" i="128"/>
  <c r="E24" i="128"/>
  <c r="C24" i="128"/>
  <c r="E23" i="128"/>
  <c r="C23" i="128"/>
  <c r="E22" i="128"/>
  <c r="C22" i="128"/>
  <c r="E21" i="128"/>
  <c r="C21" i="128"/>
  <c r="E20" i="128"/>
  <c r="C20" i="128"/>
  <c r="E19" i="128"/>
  <c r="C19" i="128"/>
  <c r="E18" i="128"/>
  <c r="C18" i="128"/>
  <c r="E17" i="128"/>
  <c r="C17" i="128"/>
  <c r="E16" i="128"/>
  <c r="C16" i="128"/>
  <c r="E15" i="128"/>
  <c r="C15" i="128"/>
  <c r="E14" i="128"/>
  <c r="C14" i="128"/>
  <c r="E13" i="128"/>
  <c r="C13" i="128"/>
  <c r="A9" i="128"/>
  <c r="S8" i="128" s="1"/>
  <c r="A8" i="128"/>
  <c r="S7" i="128" s="1"/>
  <c r="A7" i="128"/>
  <c r="S6" i="128" s="1"/>
  <c r="A6" i="128"/>
  <c r="S5" i="128" s="1"/>
  <c r="A5" i="128"/>
  <c r="S4" i="128" s="1"/>
  <c r="A4" i="128"/>
  <c r="S3" i="128" s="1"/>
  <c r="A1" i="128"/>
  <c r="L21" i="126"/>
  <c r="B42" i="128" s="1"/>
  <c r="J21" i="126"/>
  <c r="A42" i="128" s="1"/>
  <c r="D21" i="126"/>
  <c r="B27" i="128" s="1"/>
  <c r="B21" i="126"/>
  <c r="A27" i="128" s="1"/>
  <c r="L20" i="126"/>
  <c r="B41" i="128" s="1"/>
  <c r="J20" i="126"/>
  <c r="A41" i="128" s="1"/>
  <c r="D20" i="126"/>
  <c r="B26" i="128" s="1"/>
  <c r="B20" i="126"/>
  <c r="A26" i="128" s="1"/>
  <c r="L19" i="126"/>
  <c r="B40" i="128" s="1"/>
  <c r="J19" i="126"/>
  <c r="A40" i="128" s="1"/>
  <c r="D19" i="126"/>
  <c r="B25" i="128" s="1"/>
  <c r="B19" i="126"/>
  <c r="A25" i="128" s="1"/>
  <c r="L18" i="126"/>
  <c r="B39" i="128" s="1"/>
  <c r="J18" i="126"/>
  <c r="A39" i="128" s="1"/>
  <c r="D18" i="126"/>
  <c r="B24" i="128" s="1"/>
  <c r="B18" i="126"/>
  <c r="A24" i="128" s="1"/>
  <c r="L17" i="126"/>
  <c r="B38" i="128" s="1"/>
  <c r="J17" i="126"/>
  <c r="A38" i="128" s="1"/>
  <c r="D17" i="126"/>
  <c r="B23" i="128" s="1"/>
  <c r="B17" i="126"/>
  <c r="A23" i="128" s="1"/>
  <c r="L16" i="126"/>
  <c r="B37" i="128" s="1"/>
  <c r="J16" i="126"/>
  <c r="A37" i="128" s="1"/>
  <c r="D16" i="126"/>
  <c r="B22" i="128" s="1"/>
  <c r="B16" i="126"/>
  <c r="A22" i="128" s="1"/>
  <c r="L15" i="126"/>
  <c r="B36" i="128" s="1"/>
  <c r="J15" i="126"/>
  <c r="A36" i="128" s="1"/>
  <c r="D15" i="126"/>
  <c r="B21" i="128" s="1"/>
  <c r="B15" i="126"/>
  <c r="A21" i="128" s="1"/>
  <c r="L14" i="126"/>
  <c r="B35" i="128" s="1"/>
  <c r="J14" i="126"/>
  <c r="A35" i="128" s="1"/>
  <c r="D14" i="126"/>
  <c r="B20" i="128" s="1"/>
  <c r="B14" i="126"/>
  <c r="A20" i="128" s="1"/>
  <c r="L13" i="126"/>
  <c r="B34" i="128" s="1"/>
  <c r="J13" i="126"/>
  <c r="A34" i="128" s="1"/>
  <c r="D13" i="126"/>
  <c r="B19" i="128" s="1"/>
  <c r="B13" i="126"/>
  <c r="A19" i="128" s="1"/>
  <c r="L12" i="126"/>
  <c r="B33" i="128" s="1"/>
  <c r="J12" i="126"/>
  <c r="A33" i="128" s="1"/>
  <c r="D12" i="126"/>
  <c r="B18" i="128" s="1"/>
  <c r="B12" i="126"/>
  <c r="A18" i="128" s="1"/>
  <c r="L11" i="126"/>
  <c r="B32" i="128" s="1"/>
  <c r="J11" i="126"/>
  <c r="A32" i="128" s="1"/>
  <c r="D11" i="126"/>
  <c r="B17" i="128" s="1"/>
  <c r="B11" i="126"/>
  <c r="A17" i="128" s="1"/>
  <c r="L10" i="126"/>
  <c r="B31" i="128" s="1"/>
  <c r="J10" i="126"/>
  <c r="A31" i="128" s="1"/>
  <c r="D10" i="126"/>
  <c r="B16" i="128" s="1"/>
  <c r="B10" i="126"/>
  <c r="A16" i="128" s="1"/>
  <c r="L9" i="126"/>
  <c r="B30" i="128" s="1"/>
  <c r="J9" i="126"/>
  <c r="A30" i="128" s="1"/>
  <c r="D9" i="126"/>
  <c r="B15" i="128" s="1"/>
  <c r="B9" i="126"/>
  <c r="A15" i="128" s="1"/>
  <c r="L8" i="126"/>
  <c r="B29" i="128" s="1"/>
  <c r="J8" i="126"/>
  <c r="A29" i="128" s="1"/>
  <c r="D8" i="126"/>
  <c r="B14" i="128" s="1"/>
  <c r="B8" i="126"/>
  <c r="A14" i="128" s="1"/>
  <c r="L7" i="126"/>
  <c r="B28" i="128" s="1"/>
  <c r="J7" i="126"/>
  <c r="A28" i="128" s="1"/>
  <c r="D7" i="126"/>
  <c r="B13" i="128" s="1"/>
  <c r="B7" i="126"/>
  <c r="A13" i="128" s="1"/>
  <c r="J4" i="126"/>
  <c r="B4" i="126"/>
  <c r="J3" i="126"/>
  <c r="B3" i="126"/>
  <c r="J2" i="126"/>
  <c r="E2" i="126"/>
  <c r="B2" i="126"/>
  <c r="T7" i="128" a="1"/>
  <c r="W5" i="128" a="1"/>
  <c r="U5" i="128" a="1"/>
  <c r="T3" i="128" a="1"/>
  <c r="E42" i="125"/>
  <c r="C42" i="125"/>
  <c r="E41" i="125"/>
  <c r="C41" i="125"/>
  <c r="E40" i="125"/>
  <c r="C40" i="125"/>
  <c r="E39" i="125"/>
  <c r="C39" i="125"/>
  <c r="E38" i="125"/>
  <c r="C38" i="125"/>
  <c r="E37" i="125"/>
  <c r="C37" i="125"/>
  <c r="E36" i="125"/>
  <c r="C36" i="125"/>
  <c r="E35" i="125"/>
  <c r="C35" i="125"/>
  <c r="E34" i="125"/>
  <c r="C34" i="125"/>
  <c r="E33" i="125"/>
  <c r="C33" i="125"/>
  <c r="E32" i="125"/>
  <c r="C32" i="125"/>
  <c r="E31" i="125"/>
  <c r="C31" i="125"/>
  <c r="E30" i="125"/>
  <c r="C30" i="125"/>
  <c r="E29" i="125"/>
  <c r="C29" i="125"/>
  <c r="E28" i="125"/>
  <c r="C28" i="125"/>
  <c r="E27" i="125"/>
  <c r="C27" i="125"/>
  <c r="E26" i="125"/>
  <c r="C26" i="125"/>
  <c r="E25" i="125"/>
  <c r="C25" i="125"/>
  <c r="E24" i="125"/>
  <c r="C24" i="125"/>
  <c r="E23" i="125"/>
  <c r="C23" i="125"/>
  <c r="E22" i="125"/>
  <c r="C22" i="125"/>
  <c r="E21" i="125"/>
  <c r="C21" i="125"/>
  <c r="E20" i="125"/>
  <c r="C20" i="125"/>
  <c r="E19" i="125"/>
  <c r="C19" i="125"/>
  <c r="E18" i="125"/>
  <c r="C18" i="125"/>
  <c r="E17" i="125"/>
  <c r="C17" i="125"/>
  <c r="E16" i="125"/>
  <c r="C16" i="125"/>
  <c r="E15" i="125"/>
  <c r="C15" i="125"/>
  <c r="E14" i="125"/>
  <c r="C14" i="125"/>
  <c r="E13" i="125"/>
  <c r="C13" i="125"/>
  <c r="A9" i="125"/>
  <c r="S8" i="125" s="1"/>
  <c r="A8" i="125"/>
  <c r="S7" i="125" s="1"/>
  <c r="A7" i="125"/>
  <c r="S6" i="125" s="1"/>
  <c r="A6" i="125"/>
  <c r="A5" i="125"/>
  <c r="S4" i="125" s="1"/>
  <c r="A4" i="125"/>
  <c r="S3" i="125" s="1"/>
  <c r="A1" i="125"/>
  <c r="L21" i="123"/>
  <c r="B42" i="125" s="1"/>
  <c r="J21" i="123"/>
  <c r="A42" i="125" s="1"/>
  <c r="D21" i="123"/>
  <c r="B27" i="125" s="1"/>
  <c r="B21" i="123"/>
  <c r="A27" i="125" s="1"/>
  <c r="L20" i="123"/>
  <c r="B41" i="125" s="1"/>
  <c r="J20" i="123"/>
  <c r="A41" i="125" s="1"/>
  <c r="D20" i="123"/>
  <c r="B26" i="125" s="1"/>
  <c r="B20" i="123"/>
  <c r="A26" i="125" s="1"/>
  <c r="L19" i="123"/>
  <c r="B40" i="125" s="1"/>
  <c r="J19" i="123"/>
  <c r="A40" i="125" s="1"/>
  <c r="D19" i="123"/>
  <c r="B25" i="125" s="1"/>
  <c r="B19" i="123"/>
  <c r="A25" i="125" s="1"/>
  <c r="L18" i="123"/>
  <c r="B39" i="125" s="1"/>
  <c r="J18" i="123"/>
  <c r="A39" i="125" s="1"/>
  <c r="D18" i="123"/>
  <c r="B24" i="125" s="1"/>
  <c r="B18" i="123"/>
  <c r="A24" i="125" s="1"/>
  <c r="L17" i="123"/>
  <c r="B38" i="125" s="1"/>
  <c r="J17" i="123"/>
  <c r="A38" i="125" s="1"/>
  <c r="D17" i="123"/>
  <c r="B23" i="125" s="1"/>
  <c r="B17" i="123"/>
  <c r="A23" i="125" s="1"/>
  <c r="L16" i="123"/>
  <c r="B37" i="125" s="1"/>
  <c r="J16" i="123"/>
  <c r="A37" i="125" s="1"/>
  <c r="D16" i="123"/>
  <c r="B22" i="125" s="1"/>
  <c r="B16" i="123"/>
  <c r="A22" i="125" s="1"/>
  <c r="L15" i="123"/>
  <c r="B36" i="125" s="1"/>
  <c r="J15" i="123"/>
  <c r="A36" i="125" s="1"/>
  <c r="D15" i="123"/>
  <c r="B21" i="125" s="1"/>
  <c r="B15" i="123"/>
  <c r="A21" i="125" s="1"/>
  <c r="L14" i="123"/>
  <c r="B35" i="125" s="1"/>
  <c r="J14" i="123"/>
  <c r="A35" i="125" s="1"/>
  <c r="D14" i="123"/>
  <c r="B20" i="125" s="1"/>
  <c r="B14" i="123"/>
  <c r="A20" i="125" s="1"/>
  <c r="L13" i="123"/>
  <c r="B34" i="125" s="1"/>
  <c r="J13" i="123"/>
  <c r="A34" i="125" s="1"/>
  <c r="D13" i="123"/>
  <c r="B19" i="125" s="1"/>
  <c r="B13" i="123"/>
  <c r="A19" i="125" s="1"/>
  <c r="L12" i="123"/>
  <c r="B33" i="125" s="1"/>
  <c r="J12" i="123"/>
  <c r="A33" i="125" s="1"/>
  <c r="D12" i="123"/>
  <c r="B18" i="125" s="1"/>
  <c r="B12" i="123"/>
  <c r="A18" i="125" s="1"/>
  <c r="L11" i="123"/>
  <c r="B32" i="125" s="1"/>
  <c r="J11" i="123"/>
  <c r="A32" i="125" s="1"/>
  <c r="D11" i="123"/>
  <c r="B17" i="125" s="1"/>
  <c r="B11" i="123"/>
  <c r="A17" i="125" s="1"/>
  <c r="L10" i="123"/>
  <c r="B31" i="125" s="1"/>
  <c r="J10" i="123"/>
  <c r="A31" i="125" s="1"/>
  <c r="D10" i="123"/>
  <c r="B16" i="125" s="1"/>
  <c r="B10" i="123"/>
  <c r="A16" i="125" s="1"/>
  <c r="L9" i="123"/>
  <c r="B30" i="125" s="1"/>
  <c r="J9" i="123"/>
  <c r="A30" i="125" s="1"/>
  <c r="D9" i="123"/>
  <c r="B15" i="125" s="1"/>
  <c r="B9" i="123"/>
  <c r="A15" i="125" s="1"/>
  <c r="L8" i="123"/>
  <c r="B29" i="125" s="1"/>
  <c r="J8" i="123"/>
  <c r="A29" i="125" s="1"/>
  <c r="D8" i="123"/>
  <c r="B14" i="125" s="1"/>
  <c r="B8" i="123"/>
  <c r="A14" i="125" s="1"/>
  <c r="L7" i="123"/>
  <c r="B28" i="125" s="1"/>
  <c r="J7" i="123"/>
  <c r="A28" i="125" s="1"/>
  <c r="D7" i="123"/>
  <c r="B13" i="125" s="1"/>
  <c r="B7" i="123"/>
  <c r="A13" i="125" s="1"/>
  <c r="J4" i="123"/>
  <c r="B4" i="123"/>
  <c r="J3" i="123"/>
  <c r="B3" i="123"/>
  <c r="J2" i="123"/>
  <c r="E2" i="123"/>
  <c r="B2" i="123"/>
  <c r="T4" i="125" a="1"/>
  <c r="V4" i="125" a="1"/>
  <c r="V8" i="125" a="1"/>
  <c r="W8" i="125" a="1"/>
  <c r="U8" i="125" a="1"/>
  <c r="S5" i="125"/>
  <c r="W4" i="125" a="1"/>
  <c r="U4" i="125" a="1"/>
  <c r="E42" i="122"/>
  <c r="C42" i="122"/>
  <c r="E41" i="122"/>
  <c r="C41" i="122"/>
  <c r="E40" i="122"/>
  <c r="C40" i="122"/>
  <c r="E39" i="122"/>
  <c r="C39" i="122"/>
  <c r="E38" i="122"/>
  <c r="C38" i="122"/>
  <c r="E37" i="122"/>
  <c r="C37" i="122"/>
  <c r="E36" i="122"/>
  <c r="C36" i="122"/>
  <c r="E35" i="122"/>
  <c r="C35" i="122"/>
  <c r="E34" i="122"/>
  <c r="C34" i="122"/>
  <c r="E33" i="122"/>
  <c r="C33" i="122"/>
  <c r="E32" i="122"/>
  <c r="C32" i="122"/>
  <c r="E31" i="122"/>
  <c r="C31" i="122"/>
  <c r="E30" i="122"/>
  <c r="C30" i="122"/>
  <c r="E29" i="122"/>
  <c r="C29" i="122"/>
  <c r="E28" i="122"/>
  <c r="C28" i="122"/>
  <c r="E27" i="122"/>
  <c r="C27" i="122"/>
  <c r="E26" i="122"/>
  <c r="C26" i="122"/>
  <c r="E25" i="122"/>
  <c r="C25" i="122"/>
  <c r="E24" i="122"/>
  <c r="C24" i="122"/>
  <c r="E23" i="122"/>
  <c r="C23" i="122"/>
  <c r="E22" i="122"/>
  <c r="C22" i="122"/>
  <c r="E21" i="122"/>
  <c r="C21" i="122"/>
  <c r="E20" i="122"/>
  <c r="C20" i="122"/>
  <c r="E19" i="122"/>
  <c r="C19" i="122"/>
  <c r="E18" i="122"/>
  <c r="C18" i="122"/>
  <c r="E17" i="122"/>
  <c r="C17" i="122"/>
  <c r="E16" i="122"/>
  <c r="C16" i="122"/>
  <c r="E15" i="122"/>
  <c r="C15" i="122"/>
  <c r="E14" i="122"/>
  <c r="C14" i="122"/>
  <c r="E13" i="122"/>
  <c r="C13" i="122"/>
  <c r="A9" i="122"/>
  <c r="A8" i="122"/>
  <c r="S7" i="122" s="1"/>
  <c r="A7" i="122"/>
  <c r="S6" i="122" s="1"/>
  <c r="W6" i="122" s="1" a="1"/>
  <c r="A6" i="122"/>
  <c r="S5" i="122" s="1"/>
  <c r="A5" i="122"/>
  <c r="A4" i="122"/>
  <c r="S3" i="122" s="1"/>
  <c r="A1" i="122"/>
  <c r="L21" i="120"/>
  <c r="B42" i="122" s="1"/>
  <c r="J21" i="120"/>
  <c r="A42" i="122" s="1"/>
  <c r="D21" i="120"/>
  <c r="B27" i="122" s="1"/>
  <c r="B21" i="120"/>
  <c r="A27" i="122" s="1"/>
  <c r="L20" i="120"/>
  <c r="B41" i="122" s="1"/>
  <c r="J20" i="120"/>
  <c r="A41" i="122" s="1"/>
  <c r="D20" i="120"/>
  <c r="B26" i="122" s="1"/>
  <c r="B20" i="120"/>
  <c r="A26" i="122" s="1"/>
  <c r="L19" i="120"/>
  <c r="B40" i="122" s="1"/>
  <c r="J19" i="120"/>
  <c r="A40" i="122" s="1"/>
  <c r="D19" i="120"/>
  <c r="B25" i="122" s="1"/>
  <c r="B19" i="120"/>
  <c r="A25" i="122" s="1"/>
  <c r="L18" i="120"/>
  <c r="B39" i="122" s="1"/>
  <c r="J18" i="120"/>
  <c r="A39" i="122" s="1"/>
  <c r="D18" i="120"/>
  <c r="B24" i="122" s="1"/>
  <c r="B18" i="120"/>
  <c r="A24" i="122" s="1"/>
  <c r="L17" i="120"/>
  <c r="B38" i="122" s="1"/>
  <c r="J17" i="120"/>
  <c r="A38" i="122" s="1"/>
  <c r="D17" i="120"/>
  <c r="B23" i="122" s="1"/>
  <c r="B17" i="120"/>
  <c r="A23" i="122" s="1"/>
  <c r="L16" i="120"/>
  <c r="B37" i="122" s="1"/>
  <c r="J16" i="120"/>
  <c r="A37" i="122" s="1"/>
  <c r="D16" i="120"/>
  <c r="B22" i="122" s="1"/>
  <c r="B16" i="120"/>
  <c r="A22" i="122" s="1"/>
  <c r="L15" i="120"/>
  <c r="B36" i="122" s="1"/>
  <c r="J15" i="120"/>
  <c r="A36" i="122" s="1"/>
  <c r="D15" i="120"/>
  <c r="B21" i="122" s="1"/>
  <c r="B15" i="120"/>
  <c r="A21" i="122" s="1"/>
  <c r="L14" i="120"/>
  <c r="B35" i="122" s="1"/>
  <c r="J14" i="120"/>
  <c r="A35" i="122" s="1"/>
  <c r="D14" i="120"/>
  <c r="B20" i="122" s="1"/>
  <c r="B14" i="120"/>
  <c r="A20" i="122" s="1"/>
  <c r="L13" i="120"/>
  <c r="B34" i="122" s="1"/>
  <c r="J13" i="120"/>
  <c r="A34" i="122" s="1"/>
  <c r="D13" i="120"/>
  <c r="B19" i="122" s="1"/>
  <c r="B13" i="120"/>
  <c r="A19" i="122" s="1"/>
  <c r="L12" i="120"/>
  <c r="B33" i="122" s="1"/>
  <c r="J12" i="120"/>
  <c r="A33" i="122" s="1"/>
  <c r="D12" i="120"/>
  <c r="B18" i="122" s="1"/>
  <c r="B12" i="120"/>
  <c r="A18" i="122" s="1"/>
  <c r="L11" i="120"/>
  <c r="B32" i="122" s="1"/>
  <c r="J11" i="120"/>
  <c r="A32" i="122" s="1"/>
  <c r="D11" i="120"/>
  <c r="B17" i="122" s="1"/>
  <c r="B11" i="120"/>
  <c r="A17" i="122" s="1"/>
  <c r="L10" i="120"/>
  <c r="B31" i="122" s="1"/>
  <c r="J10" i="120"/>
  <c r="A31" i="122" s="1"/>
  <c r="D10" i="120"/>
  <c r="B16" i="122" s="1"/>
  <c r="B10" i="120"/>
  <c r="A16" i="122" s="1"/>
  <c r="L9" i="120"/>
  <c r="B30" i="122" s="1"/>
  <c r="J9" i="120"/>
  <c r="A30" i="122" s="1"/>
  <c r="D9" i="120"/>
  <c r="B15" i="122" s="1"/>
  <c r="B9" i="120"/>
  <c r="A15" i="122" s="1"/>
  <c r="L8" i="120"/>
  <c r="B29" i="122" s="1"/>
  <c r="J8" i="120"/>
  <c r="A29" i="122" s="1"/>
  <c r="D8" i="120"/>
  <c r="B14" i="122" s="1"/>
  <c r="B8" i="120"/>
  <c r="A14" i="122" s="1"/>
  <c r="L7" i="120"/>
  <c r="B28" i="122" s="1"/>
  <c r="J7" i="120"/>
  <c r="A28" i="122" s="1"/>
  <c r="D7" i="120"/>
  <c r="B13" i="122" s="1"/>
  <c r="B7" i="120"/>
  <c r="A13" i="122" s="1"/>
  <c r="J4" i="120"/>
  <c r="B4" i="120"/>
  <c r="J3" i="120"/>
  <c r="B3" i="120"/>
  <c r="J2" i="120"/>
  <c r="E2" i="120"/>
  <c r="B2" i="120"/>
  <c r="S8" i="122"/>
  <c r="W5" i="122" a="1"/>
  <c r="U5" i="122" a="1"/>
  <c r="S4" i="122"/>
  <c r="Y5" i="131" l="1"/>
  <c r="U8" i="131"/>
  <c r="T8" i="131"/>
  <c r="Y4" i="131"/>
  <c r="W4" i="131"/>
  <c r="X8" i="131"/>
  <c r="V4" i="131"/>
  <c r="W8" i="131"/>
  <c r="U4" i="131"/>
  <c r="V8" i="131"/>
  <c r="W6" i="131" a="1"/>
  <c r="W6" i="131" s="1"/>
  <c r="U6" i="131" a="1"/>
  <c r="U6" i="131" s="1"/>
  <c r="Y6" i="131"/>
  <c r="X6" i="131"/>
  <c r="V6" i="131" a="1"/>
  <c r="V6" i="131" s="1"/>
  <c r="T6" i="131" a="1"/>
  <c r="T6" i="131" s="1"/>
  <c r="W3" i="131" a="1"/>
  <c r="W3" i="131" s="1"/>
  <c r="U3" i="131" a="1"/>
  <c r="U3" i="131" s="1"/>
  <c r="X3" i="131"/>
  <c r="V3" i="131" a="1"/>
  <c r="V3" i="131" s="1"/>
  <c r="T3" i="131" a="1"/>
  <c r="T3" i="131" s="1"/>
  <c r="Y3" i="131"/>
  <c r="W7" i="131" a="1"/>
  <c r="W7" i="131" s="1"/>
  <c r="U7" i="131" a="1"/>
  <c r="U7" i="131" s="1"/>
  <c r="X7" i="131"/>
  <c r="V7" i="131" a="1"/>
  <c r="V7" i="131" s="1"/>
  <c r="T7" i="131" a="1"/>
  <c r="T7" i="131" s="1"/>
  <c r="Y7" i="131"/>
  <c r="T4" i="131" a="1"/>
  <c r="T4" i="131" s="1"/>
  <c r="U5" i="131" a="1"/>
  <c r="U5" i="131" s="1"/>
  <c r="W5" i="131" a="1"/>
  <c r="W5" i="131" s="1"/>
  <c r="Y8" i="131"/>
  <c r="T5" i="131" a="1"/>
  <c r="T5" i="131" s="1"/>
  <c r="V5" i="131" a="1"/>
  <c r="V5" i="131" s="1"/>
  <c r="X5" i="131"/>
  <c r="X4" i="131"/>
  <c r="Y4" i="128"/>
  <c r="X7" i="128"/>
  <c r="Y5" i="128"/>
  <c r="U5" i="128"/>
  <c r="W5" i="128"/>
  <c r="T3" i="128"/>
  <c r="T7" i="128"/>
  <c r="W3" i="128" a="1"/>
  <c r="W3" i="128" s="1"/>
  <c r="U3" i="128" a="1"/>
  <c r="U3" i="128" s="1"/>
  <c r="Y3" i="128"/>
  <c r="X4" i="128"/>
  <c r="V4" i="128" a="1"/>
  <c r="V4" i="128" s="1"/>
  <c r="T4" i="128" a="1"/>
  <c r="T4" i="128" s="1"/>
  <c r="W4" i="128" a="1"/>
  <c r="W4" i="128" s="1"/>
  <c r="U4" i="128" a="1"/>
  <c r="U4" i="128" s="1"/>
  <c r="V7" i="128" a="1"/>
  <c r="V7" i="128" s="1"/>
  <c r="V3" i="128" a="1"/>
  <c r="V3" i="128" s="1"/>
  <c r="Y7" i="128"/>
  <c r="Z7" i="128" s="1"/>
  <c r="W7" i="128" a="1"/>
  <c r="W7" i="128" s="1"/>
  <c r="U7" i="128" a="1"/>
  <c r="U7" i="128" s="1"/>
  <c r="X3" i="128"/>
  <c r="W6" i="128" a="1"/>
  <c r="W6" i="128" s="1"/>
  <c r="U6" i="128" a="1"/>
  <c r="U6" i="128" s="1"/>
  <c r="X6" i="128"/>
  <c r="V6" i="128" a="1"/>
  <c r="V6" i="128" s="1"/>
  <c r="T6" i="128" a="1"/>
  <c r="T6" i="128" s="1"/>
  <c r="Y6" i="128"/>
  <c r="X8" i="128"/>
  <c r="V8" i="128" a="1"/>
  <c r="V8" i="128" s="1"/>
  <c r="T8" i="128" a="1"/>
  <c r="T8" i="128" s="1"/>
  <c r="W8" i="128" a="1"/>
  <c r="W8" i="128" s="1"/>
  <c r="U8" i="128" a="1"/>
  <c r="U8" i="128" s="1"/>
  <c r="Y8" i="128"/>
  <c r="T5" i="128" a="1"/>
  <c r="T5" i="128" s="1"/>
  <c r="V5" i="128" a="1"/>
  <c r="V5" i="128" s="1"/>
  <c r="X5" i="128"/>
  <c r="W4" i="125"/>
  <c r="X8" i="125"/>
  <c r="V4" i="125"/>
  <c r="T4" i="125"/>
  <c r="Y4" i="125"/>
  <c r="W8" i="125"/>
  <c r="X5" i="125"/>
  <c r="U8" i="125"/>
  <c r="U4" i="125"/>
  <c r="V8" i="125"/>
  <c r="Y6" i="125"/>
  <c r="W6" i="125" a="1"/>
  <c r="W6" i="125" s="1"/>
  <c r="U6" i="125" a="1"/>
  <c r="U6" i="125" s="1"/>
  <c r="X6" i="125"/>
  <c r="V6" i="125" a="1"/>
  <c r="V6" i="125" s="1"/>
  <c r="T6" i="125" a="1"/>
  <c r="T6" i="125" s="1"/>
  <c r="Y3" i="125"/>
  <c r="W3" i="125" a="1"/>
  <c r="W3" i="125" s="1"/>
  <c r="U3" i="125" a="1"/>
  <c r="U3" i="125" s="1"/>
  <c r="X3" i="125"/>
  <c r="V3" i="125" a="1"/>
  <c r="V3" i="125" s="1"/>
  <c r="T3" i="125" a="1"/>
  <c r="T3" i="125" s="1"/>
  <c r="W7" i="125" a="1"/>
  <c r="W7" i="125" s="1"/>
  <c r="U7" i="125" a="1"/>
  <c r="U7" i="125" s="1"/>
  <c r="X7" i="125"/>
  <c r="V7" i="125" a="1"/>
  <c r="V7" i="125" s="1"/>
  <c r="T7" i="125" a="1"/>
  <c r="T7" i="125" s="1"/>
  <c r="Y7" i="125"/>
  <c r="X4" i="125"/>
  <c r="Y5" i="125"/>
  <c r="T8" i="125" a="1"/>
  <c r="T8" i="125" s="1"/>
  <c r="U5" i="125" a="1"/>
  <c r="U5" i="125" s="1"/>
  <c r="W5" i="125" a="1"/>
  <c r="W5" i="125" s="1"/>
  <c r="Y8" i="125"/>
  <c r="Z8" i="125" s="1"/>
  <c r="T5" i="125" a="1"/>
  <c r="T5" i="125" s="1"/>
  <c r="V5" i="125" a="1"/>
  <c r="V5" i="125" s="1"/>
  <c r="W5" i="122"/>
  <c r="U5" i="122"/>
  <c r="W6" i="122"/>
  <c r="Y5" i="122"/>
  <c r="Y3" i="122"/>
  <c r="V3" i="122" a="1"/>
  <c r="V3" i="122" s="1"/>
  <c r="W3" i="122" a="1"/>
  <c r="W3" i="122" s="1"/>
  <c r="U3" i="122" a="1"/>
  <c r="U3" i="122" s="1"/>
  <c r="X3" i="122"/>
  <c r="T3" i="122" a="1"/>
  <c r="T3" i="122" s="1"/>
  <c r="V7" i="122" a="1"/>
  <c r="V7" i="122" s="1"/>
  <c r="W7" i="122" a="1"/>
  <c r="W7" i="122" s="1"/>
  <c r="U7" i="122" a="1"/>
  <c r="U7" i="122" s="1"/>
  <c r="Y7" i="122"/>
  <c r="X7" i="122"/>
  <c r="T7" i="122" a="1"/>
  <c r="T7" i="122" s="1"/>
  <c r="X4" i="122"/>
  <c r="V4" i="122" a="1"/>
  <c r="V4" i="122" s="1"/>
  <c r="T4" i="122" a="1"/>
  <c r="T4" i="122" s="1"/>
  <c r="U4" i="122" a="1"/>
  <c r="U4" i="122" s="1"/>
  <c r="Y4" i="122"/>
  <c r="W4" i="122" a="1"/>
  <c r="W4" i="122" s="1"/>
  <c r="X8" i="122"/>
  <c r="V8" i="122" a="1"/>
  <c r="V8" i="122" s="1"/>
  <c r="T8" i="122" a="1"/>
  <c r="T8" i="122" s="1"/>
  <c r="W8" i="122" a="1"/>
  <c r="W8" i="122" s="1"/>
  <c r="Y8" i="122"/>
  <c r="U8" i="122" a="1"/>
  <c r="U8" i="122" s="1"/>
  <c r="V6" i="122" a="1"/>
  <c r="V6" i="122" s="1"/>
  <c r="T5" i="122" a="1"/>
  <c r="T5" i="122" s="1"/>
  <c r="V5" i="122" a="1"/>
  <c r="V5" i="122" s="1"/>
  <c r="X5" i="122"/>
  <c r="Y6" i="122"/>
  <c r="T6" i="122" a="1"/>
  <c r="T6" i="122" s="1"/>
  <c r="X6" i="122"/>
  <c r="U6" i="122" a="1"/>
  <c r="U6" i="122" s="1"/>
  <c r="E42" i="119"/>
  <c r="C42" i="119"/>
  <c r="B42" i="119"/>
  <c r="E41" i="119"/>
  <c r="C41" i="119"/>
  <c r="B41" i="119"/>
  <c r="E40" i="119"/>
  <c r="C40" i="119"/>
  <c r="B40" i="119"/>
  <c r="E39" i="119"/>
  <c r="C39" i="119"/>
  <c r="B39" i="119"/>
  <c r="E38" i="119"/>
  <c r="C38" i="119"/>
  <c r="B38" i="119"/>
  <c r="E37" i="119"/>
  <c r="C37" i="119"/>
  <c r="B37" i="119"/>
  <c r="E36" i="119"/>
  <c r="C36" i="119"/>
  <c r="B36" i="119"/>
  <c r="E35" i="119"/>
  <c r="C35" i="119"/>
  <c r="B35" i="119"/>
  <c r="E34" i="119"/>
  <c r="C34" i="119"/>
  <c r="B34" i="119"/>
  <c r="E33" i="119"/>
  <c r="C33" i="119"/>
  <c r="B33" i="119"/>
  <c r="E32" i="119"/>
  <c r="C32" i="119"/>
  <c r="B32" i="119"/>
  <c r="E31" i="119"/>
  <c r="C31" i="119"/>
  <c r="B31" i="119"/>
  <c r="E30" i="119"/>
  <c r="C30" i="119"/>
  <c r="B30" i="119"/>
  <c r="E29" i="119"/>
  <c r="C29" i="119"/>
  <c r="B29" i="119"/>
  <c r="E28" i="119"/>
  <c r="C28" i="119"/>
  <c r="B28" i="119"/>
  <c r="E27" i="119"/>
  <c r="C27" i="119"/>
  <c r="E26" i="119"/>
  <c r="C26" i="119"/>
  <c r="A26" i="119"/>
  <c r="E25" i="119"/>
  <c r="C25" i="119"/>
  <c r="B25" i="119"/>
  <c r="E24" i="119"/>
  <c r="C24" i="119"/>
  <c r="B24" i="119"/>
  <c r="A24" i="119"/>
  <c r="E23" i="119"/>
  <c r="C23" i="119"/>
  <c r="E22" i="119"/>
  <c r="C22" i="119"/>
  <c r="B22" i="119"/>
  <c r="E21" i="119"/>
  <c r="C21" i="119"/>
  <c r="A21" i="119"/>
  <c r="E20" i="119"/>
  <c r="C20" i="119"/>
  <c r="E19" i="119"/>
  <c r="C19" i="119"/>
  <c r="E18" i="119"/>
  <c r="C18" i="119"/>
  <c r="B18" i="119"/>
  <c r="A18" i="119"/>
  <c r="E17" i="119"/>
  <c r="C17" i="119"/>
  <c r="A17" i="119"/>
  <c r="E16" i="119"/>
  <c r="C16" i="119"/>
  <c r="E15" i="119"/>
  <c r="C15" i="119"/>
  <c r="B15" i="119"/>
  <c r="A15" i="119"/>
  <c r="E14" i="119"/>
  <c r="C14" i="119"/>
  <c r="A14" i="119"/>
  <c r="E13" i="119"/>
  <c r="C13" i="119"/>
  <c r="A6" i="119"/>
  <c r="A7" i="119"/>
  <c r="A8" i="119"/>
  <c r="A9" i="119"/>
  <c r="A5" i="119"/>
  <c r="A4" i="119"/>
  <c r="A1" i="119"/>
  <c r="J3" i="117"/>
  <c r="J4" i="117"/>
  <c r="J2" i="117"/>
  <c r="B3" i="117"/>
  <c r="B4" i="117"/>
  <c r="B2" i="117"/>
  <c r="L21" i="117"/>
  <c r="J21" i="117"/>
  <c r="A42" i="119" s="1"/>
  <c r="D21" i="117"/>
  <c r="B27" i="119" s="1"/>
  <c r="B21" i="117"/>
  <c r="A27" i="119" s="1"/>
  <c r="L20" i="117"/>
  <c r="J20" i="117"/>
  <c r="A41" i="119" s="1"/>
  <c r="D20" i="117"/>
  <c r="B26" i="119" s="1"/>
  <c r="B20" i="117"/>
  <c r="L19" i="117"/>
  <c r="J19" i="117"/>
  <c r="A40" i="119" s="1"/>
  <c r="D19" i="117"/>
  <c r="B19" i="117"/>
  <c r="A25" i="119" s="1"/>
  <c r="L18" i="117"/>
  <c r="J18" i="117"/>
  <c r="A39" i="119" s="1"/>
  <c r="D18" i="117"/>
  <c r="B18" i="117"/>
  <c r="L17" i="117"/>
  <c r="J17" i="117"/>
  <c r="A38" i="119" s="1"/>
  <c r="D17" i="117"/>
  <c r="B23" i="119" s="1"/>
  <c r="B17" i="117"/>
  <c r="A23" i="119" s="1"/>
  <c r="L16" i="117"/>
  <c r="J16" i="117"/>
  <c r="A37" i="119" s="1"/>
  <c r="D16" i="117"/>
  <c r="B16" i="117"/>
  <c r="A22" i="119" s="1"/>
  <c r="L15" i="117"/>
  <c r="J15" i="117"/>
  <c r="A36" i="119" s="1"/>
  <c r="D15" i="117"/>
  <c r="B21" i="119" s="1"/>
  <c r="B15" i="117"/>
  <c r="L14" i="117"/>
  <c r="J14" i="117"/>
  <c r="A35" i="119" s="1"/>
  <c r="D14" i="117"/>
  <c r="B20" i="119" s="1"/>
  <c r="B14" i="117"/>
  <c r="A20" i="119" s="1"/>
  <c r="L13" i="117"/>
  <c r="J13" i="117"/>
  <c r="A34" i="119" s="1"/>
  <c r="D13" i="117"/>
  <c r="B19" i="119" s="1"/>
  <c r="B13" i="117"/>
  <c r="A19" i="119" s="1"/>
  <c r="L12" i="117"/>
  <c r="J12" i="117"/>
  <c r="A33" i="119" s="1"/>
  <c r="D12" i="117"/>
  <c r="B12" i="117"/>
  <c r="L11" i="117"/>
  <c r="J11" i="117"/>
  <c r="A32" i="119" s="1"/>
  <c r="D11" i="117"/>
  <c r="B17" i="119" s="1"/>
  <c r="B11" i="117"/>
  <c r="L10" i="117"/>
  <c r="J10" i="117"/>
  <c r="A31" i="119" s="1"/>
  <c r="D10" i="117"/>
  <c r="B16" i="119" s="1"/>
  <c r="B10" i="117"/>
  <c r="A16" i="119" s="1"/>
  <c r="L9" i="117"/>
  <c r="J9" i="117"/>
  <c r="A30" i="119" s="1"/>
  <c r="D9" i="117"/>
  <c r="B9" i="117"/>
  <c r="L8" i="117"/>
  <c r="J8" i="117"/>
  <c r="A29" i="119" s="1"/>
  <c r="D8" i="117"/>
  <c r="B14" i="119" s="1"/>
  <c r="B8" i="117"/>
  <c r="L7" i="117"/>
  <c r="J7" i="117"/>
  <c r="A28" i="119" s="1"/>
  <c r="D7" i="117"/>
  <c r="B13" i="119" s="1"/>
  <c r="B7" i="117"/>
  <c r="A13" i="119" s="1"/>
  <c r="E2" i="117"/>
  <c r="AA8" i="131" l="1"/>
  <c r="Z8" i="131"/>
  <c r="AA7" i="131"/>
  <c r="AA4" i="131"/>
  <c r="Z7" i="131"/>
  <c r="AA5" i="131"/>
  <c r="AA3" i="131"/>
  <c r="Z6" i="131"/>
  <c r="Z4" i="131"/>
  <c r="AA6" i="131"/>
  <c r="T10" i="131"/>
  <c r="Z5" i="131"/>
  <c r="Z3" i="131"/>
  <c r="AA7" i="128"/>
  <c r="AB7" i="128" s="1"/>
  <c r="AA8" i="128"/>
  <c r="AA6" i="128"/>
  <c r="AA5" i="128"/>
  <c r="T10" i="128"/>
  <c r="AA4" i="128"/>
  <c r="Z4" i="128"/>
  <c r="Z5" i="128"/>
  <c r="Z8" i="128"/>
  <c r="Z6" i="128"/>
  <c r="Z3" i="128"/>
  <c r="AA3" i="128"/>
  <c r="AA8" i="125"/>
  <c r="AB8" i="125" s="1"/>
  <c r="Z5" i="125"/>
  <c r="AA4" i="125"/>
  <c r="AA5" i="125"/>
  <c r="AA7" i="125"/>
  <c r="AA3" i="125"/>
  <c r="T10" i="125"/>
  <c r="Z6" i="125"/>
  <c r="Z3" i="125"/>
  <c r="Z4" i="125"/>
  <c r="Z7" i="125"/>
  <c r="AA6" i="125"/>
  <c r="AB6" i="125" s="1"/>
  <c r="AA5" i="122"/>
  <c r="AA8" i="122"/>
  <c r="AA6" i="122"/>
  <c r="Z8" i="122"/>
  <c r="Z7" i="122"/>
  <c r="T10" i="122"/>
  <c r="Z4" i="122"/>
  <c r="AA7" i="122"/>
  <c r="Z3" i="122"/>
  <c r="Z6" i="122"/>
  <c r="Z5" i="122"/>
  <c r="AA4" i="122"/>
  <c r="AA3" i="122"/>
  <c r="AB3" i="122" s="1"/>
  <c r="J3" i="114"/>
  <c r="J4" i="114"/>
  <c r="J2" i="114"/>
  <c r="B3" i="114"/>
  <c r="B4" i="114"/>
  <c r="B5" i="114"/>
  <c r="B2" i="114"/>
  <c r="AB8" i="131" l="1"/>
  <c r="AB6" i="131"/>
  <c r="AB3" i="131"/>
  <c r="AB4" i="131"/>
  <c r="AB7" i="131"/>
  <c r="AB5" i="131"/>
  <c r="AB8" i="128"/>
  <c r="AB6" i="128"/>
  <c r="AB4" i="128"/>
  <c r="AB5" i="128"/>
  <c r="AB3" i="128"/>
  <c r="AB4" i="125"/>
  <c r="AB5" i="125"/>
  <c r="AB7" i="125"/>
  <c r="AB3" i="125"/>
  <c r="AB5" i="122"/>
  <c r="AB8" i="122"/>
  <c r="AB6" i="122"/>
  <c r="AB7" i="122"/>
  <c r="AB4" i="122"/>
  <c r="C5" i="83"/>
  <c r="E5" i="83"/>
  <c r="C6" i="83"/>
  <c r="E6" i="83"/>
  <c r="C7" i="83"/>
  <c r="E7" i="83"/>
  <c r="C8" i="83"/>
  <c r="E8" i="83"/>
  <c r="C9" i="83"/>
  <c r="E9" i="83"/>
  <c r="C10" i="83"/>
  <c r="E10" i="83"/>
  <c r="E4" i="83"/>
  <c r="C4" i="83"/>
  <c r="E55" i="116"/>
  <c r="C55" i="116"/>
  <c r="E54" i="116"/>
  <c r="C54" i="116"/>
  <c r="E53" i="116"/>
  <c r="C53" i="116"/>
  <c r="E52" i="116"/>
  <c r="C52" i="116"/>
  <c r="E51" i="116"/>
  <c r="C51" i="116"/>
  <c r="E50" i="116"/>
  <c r="C50" i="116"/>
  <c r="E49" i="116"/>
  <c r="C49" i="116"/>
  <c r="E48" i="116"/>
  <c r="C48" i="116"/>
  <c r="E47" i="116"/>
  <c r="C47" i="116"/>
  <c r="E46" i="116"/>
  <c r="C46" i="116"/>
  <c r="E45" i="116"/>
  <c r="C45" i="116"/>
  <c r="E44" i="116"/>
  <c r="C44" i="116"/>
  <c r="E43" i="116"/>
  <c r="C43" i="116"/>
  <c r="E42" i="116"/>
  <c r="C42" i="116"/>
  <c r="E41" i="116"/>
  <c r="C41" i="116"/>
  <c r="E40" i="116"/>
  <c r="C40" i="116"/>
  <c r="E39" i="116"/>
  <c r="C39" i="116"/>
  <c r="E38" i="116"/>
  <c r="C38" i="116"/>
  <c r="E37" i="116"/>
  <c r="C37" i="116"/>
  <c r="E36" i="116"/>
  <c r="C36" i="116"/>
  <c r="E35" i="116"/>
  <c r="C35" i="116"/>
  <c r="E34" i="116"/>
  <c r="C34" i="116"/>
  <c r="E33" i="116"/>
  <c r="C33" i="116"/>
  <c r="E32" i="116"/>
  <c r="C32" i="116"/>
  <c r="E31" i="116"/>
  <c r="C31" i="116"/>
  <c r="E30" i="116"/>
  <c r="C30" i="116"/>
  <c r="E29" i="116"/>
  <c r="C29" i="116"/>
  <c r="E28" i="116"/>
  <c r="C28" i="116"/>
  <c r="E27" i="116"/>
  <c r="C27" i="116"/>
  <c r="E26" i="116"/>
  <c r="C26" i="116"/>
  <c r="E25" i="116"/>
  <c r="C25" i="116"/>
  <c r="E24" i="116"/>
  <c r="C24" i="116"/>
  <c r="E23" i="116"/>
  <c r="C23" i="116"/>
  <c r="E22" i="116"/>
  <c r="C22" i="116"/>
  <c r="E21" i="116"/>
  <c r="C21" i="116"/>
  <c r="E20" i="116"/>
  <c r="C20" i="116"/>
  <c r="E19" i="116"/>
  <c r="C19" i="116"/>
  <c r="E18" i="116"/>
  <c r="C18" i="116"/>
  <c r="E17" i="116"/>
  <c r="C17" i="116"/>
  <c r="E16" i="116"/>
  <c r="C16" i="116"/>
  <c r="E15" i="116"/>
  <c r="C15" i="116"/>
  <c r="E14" i="116"/>
  <c r="C14" i="116"/>
  <c r="A10" i="116"/>
  <c r="S9" i="116" s="1"/>
  <c r="A9" i="116"/>
  <c r="S8" i="116" s="1"/>
  <c r="A8" i="116"/>
  <c r="A7" i="116"/>
  <c r="S6" i="116" s="1"/>
  <c r="A6" i="116"/>
  <c r="A5" i="116"/>
  <c r="A4" i="116"/>
  <c r="A1" i="116"/>
  <c r="L28" i="114"/>
  <c r="B55" i="116" s="1"/>
  <c r="J28" i="114"/>
  <c r="A55" i="116" s="1"/>
  <c r="D28" i="114"/>
  <c r="B34" i="116" s="1"/>
  <c r="B28" i="114"/>
  <c r="A34" i="116" s="1"/>
  <c r="L27" i="114"/>
  <c r="B54" i="116" s="1"/>
  <c r="J27" i="114"/>
  <c r="A54" i="116" s="1"/>
  <c r="D27" i="114"/>
  <c r="B33" i="116" s="1"/>
  <c r="B27" i="114"/>
  <c r="A33" i="116" s="1"/>
  <c r="L26" i="114"/>
  <c r="B53" i="116" s="1"/>
  <c r="J26" i="114"/>
  <c r="A53" i="116" s="1"/>
  <c r="D26" i="114"/>
  <c r="B32" i="116" s="1"/>
  <c r="B26" i="114"/>
  <c r="A32" i="116" s="1"/>
  <c r="L25" i="114"/>
  <c r="B52" i="116" s="1"/>
  <c r="J25" i="114"/>
  <c r="A52" i="116" s="1"/>
  <c r="D25" i="114"/>
  <c r="B31" i="116" s="1"/>
  <c r="B25" i="114"/>
  <c r="A31" i="116" s="1"/>
  <c r="L24" i="114"/>
  <c r="B51" i="116" s="1"/>
  <c r="J24" i="114"/>
  <c r="A51" i="116" s="1"/>
  <c r="D24" i="114"/>
  <c r="B30" i="116" s="1"/>
  <c r="B24" i="114"/>
  <c r="A30" i="116" s="1"/>
  <c r="L23" i="114"/>
  <c r="B50" i="116" s="1"/>
  <c r="J23" i="114"/>
  <c r="A50" i="116" s="1"/>
  <c r="D23" i="114"/>
  <c r="B29" i="116" s="1"/>
  <c r="B23" i="114"/>
  <c r="A29" i="116" s="1"/>
  <c r="L22" i="114"/>
  <c r="B49" i="116" s="1"/>
  <c r="J22" i="114"/>
  <c r="A49" i="116" s="1"/>
  <c r="D22" i="114"/>
  <c r="B28" i="116" s="1"/>
  <c r="B22" i="114"/>
  <c r="A28" i="116" s="1"/>
  <c r="L21" i="114"/>
  <c r="B48" i="116" s="1"/>
  <c r="J21" i="114"/>
  <c r="A48" i="116" s="1"/>
  <c r="D21" i="114"/>
  <c r="B27" i="116" s="1"/>
  <c r="B21" i="114"/>
  <c r="A27" i="116" s="1"/>
  <c r="L20" i="114"/>
  <c r="B47" i="116" s="1"/>
  <c r="J20" i="114"/>
  <c r="A47" i="116" s="1"/>
  <c r="D20" i="114"/>
  <c r="B26" i="116" s="1"/>
  <c r="B20" i="114"/>
  <c r="A26" i="116" s="1"/>
  <c r="L19" i="114"/>
  <c r="B46" i="116" s="1"/>
  <c r="J19" i="114"/>
  <c r="A46" i="116" s="1"/>
  <c r="D19" i="114"/>
  <c r="B25" i="116" s="1"/>
  <c r="B19" i="114"/>
  <c r="A25" i="116" s="1"/>
  <c r="L18" i="114"/>
  <c r="B45" i="116" s="1"/>
  <c r="J18" i="114"/>
  <c r="A45" i="116" s="1"/>
  <c r="D18" i="114"/>
  <c r="B24" i="116" s="1"/>
  <c r="B18" i="114"/>
  <c r="A24" i="116" s="1"/>
  <c r="R24" i="116" s="1"/>
  <c r="L17" i="114"/>
  <c r="B44" i="116" s="1"/>
  <c r="J17" i="114"/>
  <c r="A44" i="116" s="1"/>
  <c r="D17" i="114"/>
  <c r="B23" i="116" s="1"/>
  <c r="B17" i="114"/>
  <c r="A23" i="116" s="1"/>
  <c r="L16" i="114"/>
  <c r="B43" i="116" s="1"/>
  <c r="J16" i="114"/>
  <c r="A43" i="116" s="1"/>
  <c r="D16" i="114"/>
  <c r="B22" i="116" s="1"/>
  <c r="B16" i="114"/>
  <c r="A22" i="116" s="1"/>
  <c r="L15" i="114"/>
  <c r="B42" i="116" s="1"/>
  <c r="J15" i="114"/>
  <c r="A42" i="116" s="1"/>
  <c r="D15" i="114"/>
  <c r="B21" i="116" s="1"/>
  <c r="B15" i="114"/>
  <c r="A21" i="116" s="1"/>
  <c r="L14" i="114"/>
  <c r="B41" i="116" s="1"/>
  <c r="J14" i="114"/>
  <c r="A41" i="116" s="1"/>
  <c r="D14" i="114"/>
  <c r="B20" i="116" s="1"/>
  <c r="B14" i="114"/>
  <c r="A20" i="116" s="1"/>
  <c r="L13" i="114"/>
  <c r="B40" i="116" s="1"/>
  <c r="J13" i="114"/>
  <c r="A40" i="116" s="1"/>
  <c r="B19" i="116"/>
  <c r="B13" i="114"/>
  <c r="A19" i="116" s="1"/>
  <c r="L12" i="114"/>
  <c r="B39" i="116" s="1"/>
  <c r="J12" i="114"/>
  <c r="A39" i="116" s="1"/>
  <c r="D12" i="114"/>
  <c r="B18" i="116" s="1"/>
  <c r="B12" i="114"/>
  <c r="A18" i="116" s="1"/>
  <c r="L11" i="114"/>
  <c r="B38" i="116" s="1"/>
  <c r="J11" i="114"/>
  <c r="A38" i="116" s="1"/>
  <c r="D11" i="114"/>
  <c r="B17" i="116" s="1"/>
  <c r="B11" i="114"/>
  <c r="A17" i="116" s="1"/>
  <c r="L10" i="114"/>
  <c r="B37" i="116" s="1"/>
  <c r="J10" i="114"/>
  <c r="A37" i="116" s="1"/>
  <c r="D10" i="114"/>
  <c r="B16" i="116" s="1"/>
  <c r="B10" i="114"/>
  <c r="A16" i="116" s="1"/>
  <c r="L9" i="114"/>
  <c r="B36" i="116" s="1"/>
  <c r="J9" i="114"/>
  <c r="A36" i="116" s="1"/>
  <c r="D9" i="114"/>
  <c r="B15" i="116" s="1"/>
  <c r="B9" i="114"/>
  <c r="A15" i="116" s="1"/>
  <c r="L8" i="114"/>
  <c r="B35" i="116" s="1"/>
  <c r="J8" i="114"/>
  <c r="A35" i="116" s="1"/>
  <c r="D8" i="114"/>
  <c r="B14" i="116" s="1"/>
  <c r="B8" i="114"/>
  <c r="A14" i="116" s="1"/>
  <c r="E2" i="114"/>
  <c r="U9" i="116" a="1"/>
  <c r="W9" i="116" a="1"/>
  <c r="S7" i="116"/>
  <c r="V5" i="116" a="1"/>
  <c r="U5" i="116" a="1"/>
  <c r="U3" i="116" a="1"/>
  <c r="S3" i="116"/>
  <c r="H20" i="131" l="1" a="1"/>
  <c r="H20" i="131" s="1"/>
  <c r="N37" i="79" s="1"/>
  <c r="H15" i="131" a="1"/>
  <c r="H15" i="131" s="1"/>
  <c r="N32" i="79" s="1"/>
  <c r="H19" i="131" a="1"/>
  <c r="H19" i="131" s="1"/>
  <c r="N36" i="79" s="1"/>
  <c r="H17" i="131" a="1"/>
  <c r="H17" i="131" s="1"/>
  <c r="N34" i="79" s="1"/>
  <c r="H18" i="131" a="1"/>
  <c r="H18" i="131" s="1"/>
  <c r="N35" i="79" s="1"/>
  <c r="H16" i="131" a="1"/>
  <c r="H16" i="131" s="1"/>
  <c r="N33" i="79" s="1"/>
  <c r="P15" i="131"/>
  <c r="V32" i="79" s="1"/>
  <c r="H15" i="128" a="1"/>
  <c r="H15" i="128" s="1"/>
  <c r="C32" i="79" s="1"/>
  <c r="H16" i="128" a="1"/>
  <c r="H16" i="128" s="1"/>
  <c r="C33" i="79" s="1"/>
  <c r="H18" i="128" a="1"/>
  <c r="H18" i="128" s="1"/>
  <c r="C35" i="79" s="1"/>
  <c r="H17" i="128" a="1"/>
  <c r="H17" i="128" s="1"/>
  <c r="C34" i="79" s="1"/>
  <c r="H19" i="128" a="1"/>
  <c r="H19" i="128" s="1"/>
  <c r="C36" i="79" s="1"/>
  <c r="H20" i="128" a="1"/>
  <c r="H20" i="128" s="1"/>
  <c r="C37" i="79" s="1"/>
  <c r="H15" i="125" a="1"/>
  <c r="H15" i="125" s="1"/>
  <c r="N22" i="79" s="1"/>
  <c r="E11" i="15" s="1"/>
  <c r="H18" i="125" a="1"/>
  <c r="H18" i="125" s="1"/>
  <c r="N25" i="79" s="1"/>
  <c r="H17" i="125" a="1"/>
  <c r="H17" i="125" s="1"/>
  <c r="N24" i="79" s="1"/>
  <c r="H16" i="125" a="1"/>
  <c r="H16" i="125" s="1"/>
  <c r="N23" i="79" s="1"/>
  <c r="H19" i="125" a="1"/>
  <c r="H19" i="125" s="1"/>
  <c r="N26" i="79" s="1"/>
  <c r="H20" i="125" a="1"/>
  <c r="H20" i="125" s="1"/>
  <c r="N27" i="79" s="1"/>
  <c r="H16" i="122" a="1"/>
  <c r="H16" i="122" s="1"/>
  <c r="C23" i="79" s="1"/>
  <c r="H19" i="122" a="1"/>
  <c r="H19" i="122" s="1"/>
  <c r="C26" i="79" s="1"/>
  <c r="H20" i="122" a="1"/>
  <c r="H20" i="122" s="1"/>
  <c r="C27" i="79" s="1"/>
  <c r="H17" i="122" a="1"/>
  <c r="H17" i="122" s="1"/>
  <c r="C24" i="79" s="1"/>
  <c r="H18" i="122" a="1"/>
  <c r="H18" i="122" s="1"/>
  <c r="C25" i="79" s="1"/>
  <c r="H15" i="122" a="1"/>
  <c r="H15" i="122" s="1"/>
  <c r="C22" i="79" s="1"/>
  <c r="E10" i="15" s="1"/>
  <c r="AC22" i="116"/>
  <c r="R28" i="116"/>
  <c r="R32" i="116"/>
  <c r="X3" i="116"/>
  <c r="Y7" i="116"/>
  <c r="Y8" i="116"/>
  <c r="S33" i="116"/>
  <c r="R36" i="116"/>
  <c r="R40" i="116"/>
  <c r="AC55" i="116"/>
  <c r="X7" i="116"/>
  <c r="U9" i="116"/>
  <c r="S29" i="116"/>
  <c r="S5" i="116"/>
  <c r="V5" i="116" s="1"/>
  <c r="U3" i="116"/>
  <c r="W9" i="116"/>
  <c r="AC14" i="116"/>
  <c r="AC54" i="116"/>
  <c r="AC50" i="116"/>
  <c r="AC46" i="116"/>
  <c r="AC42" i="116"/>
  <c r="W6" i="116" a="1"/>
  <c r="W6" i="116" s="1"/>
  <c r="U6" i="116" a="1"/>
  <c r="U6" i="116" s="1"/>
  <c r="X6" i="116"/>
  <c r="V6" i="116" a="1"/>
  <c r="V6" i="116" s="1"/>
  <c r="T6" i="116" a="1"/>
  <c r="T6" i="116" s="1"/>
  <c r="R14" i="116"/>
  <c r="R15" i="116"/>
  <c r="AC16" i="116"/>
  <c r="R18" i="116"/>
  <c r="S20" i="116"/>
  <c r="AC21" i="116"/>
  <c r="AC25" i="116"/>
  <c r="R26" i="116"/>
  <c r="AC26" i="116"/>
  <c r="S30" i="116"/>
  <c r="R31" i="116"/>
  <c r="S35" i="116"/>
  <c r="S36" i="116"/>
  <c r="R37" i="116"/>
  <c r="S37" i="116"/>
  <c r="AC41" i="116"/>
  <c r="R42" i="116"/>
  <c r="R43" i="116"/>
  <c r="R44" i="116"/>
  <c r="R45" i="116"/>
  <c r="R46" i="116"/>
  <c r="R47" i="116"/>
  <c r="R48" i="116"/>
  <c r="R49" i="116"/>
  <c r="R50" i="116"/>
  <c r="R51" i="116"/>
  <c r="R52" i="116"/>
  <c r="R53" i="116"/>
  <c r="R54" i="116"/>
  <c r="R55" i="116"/>
  <c r="Y3" i="116"/>
  <c r="V3" i="116" a="1"/>
  <c r="V3" i="116" s="1"/>
  <c r="S4" i="116"/>
  <c r="T5" i="116" a="1"/>
  <c r="Y6" i="116"/>
  <c r="T7" i="116" a="1"/>
  <c r="T7" i="116" s="1"/>
  <c r="S14" i="116"/>
  <c r="S15" i="116"/>
  <c r="R16" i="116"/>
  <c r="S18" i="116"/>
  <c r="AC19" i="116"/>
  <c r="R21" i="116"/>
  <c r="S26" i="116"/>
  <c r="R27" i="116"/>
  <c r="S31" i="116"/>
  <c r="S32" i="116"/>
  <c r="R33" i="116"/>
  <c r="AC37" i="116"/>
  <c r="R38" i="116"/>
  <c r="AC38" i="116"/>
  <c r="S42" i="116"/>
  <c r="S43" i="116"/>
  <c r="S44" i="116"/>
  <c r="AC45" i="116"/>
  <c r="S46" i="116"/>
  <c r="S47" i="116"/>
  <c r="S48" i="116"/>
  <c r="AC49" i="116"/>
  <c r="S50" i="116"/>
  <c r="S51" i="116"/>
  <c r="S52" i="116"/>
  <c r="AC53" i="116"/>
  <c r="S54" i="116"/>
  <c r="S55" i="116"/>
  <c r="T3" i="116" a="1"/>
  <c r="T3" i="116" s="1"/>
  <c r="W3" i="116" a="1"/>
  <c r="W3" i="116" s="1"/>
  <c r="U7" i="116" a="1"/>
  <c r="U7" i="116" s="1"/>
  <c r="X8" i="116"/>
  <c r="V8" i="116" a="1"/>
  <c r="V8" i="116" s="1"/>
  <c r="T8" i="116" a="1"/>
  <c r="T8" i="116" s="1"/>
  <c r="W8" i="116" a="1"/>
  <c r="W8" i="116" s="1"/>
  <c r="U8" i="116" a="1"/>
  <c r="U8" i="116" s="1"/>
  <c r="Y9" i="116"/>
  <c r="X9" i="116"/>
  <c r="V9" i="116" a="1"/>
  <c r="V9" i="116" s="1"/>
  <c r="T9" i="116" a="1"/>
  <c r="T9" i="116" s="1"/>
  <c r="S16" i="116"/>
  <c r="AC17" i="116"/>
  <c r="R19" i="116"/>
  <c r="AC20" i="116"/>
  <c r="R22" i="116"/>
  <c r="R23" i="116"/>
  <c r="AC27" i="116"/>
  <c r="S28" i="116"/>
  <c r="R29" i="116"/>
  <c r="AC33" i="116"/>
  <c r="R34" i="116"/>
  <c r="AC34" i="116"/>
  <c r="S38" i="116"/>
  <c r="R39" i="116"/>
  <c r="V7" i="116" a="1"/>
  <c r="V7" i="116" s="1"/>
  <c r="W7" i="116" a="1"/>
  <c r="W7" i="116" s="1"/>
  <c r="R17" i="116"/>
  <c r="AC18" i="116"/>
  <c r="R20" i="116"/>
  <c r="S22" i="116"/>
  <c r="AC23" i="116"/>
  <c r="S24" i="116"/>
  <c r="R25" i="116"/>
  <c r="S25" i="116"/>
  <c r="AC29" i="116"/>
  <c r="R30" i="116"/>
  <c r="AC30" i="116"/>
  <c r="S34" i="116"/>
  <c r="R35" i="116"/>
  <c r="S39" i="116"/>
  <c r="S40" i="116"/>
  <c r="R41" i="116"/>
  <c r="S41" i="116"/>
  <c r="S45" i="116"/>
  <c r="S49" i="116"/>
  <c r="S53" i="116"/>
  <c r="S17" i="116"/>
  <c r="S19" i="116"/>
  <c r="S21" i="116"/>
  <c r="AC15" i="116"/>
  <c r="S23" i="116"/>
  <c r="AC24" i="116"/>
  <c r="S27" i="116"/>
  <c r="AC28" i="116"/>
  <c r="AC32" i="116"/>
  <c r="AC36" i="116"/>
  <c r="AC40" i="116"/>
  <c r="AC44" i="116"/>
  <c r="AC48" i="116"/>
  <c r="AC52" i="116"/>
  <c r="AC31" i="116"/>
  <c r="AC35" i="116"/>
  <c r="AC39" i="116"/>
  <c r="AC43" i="116"/>
  <c r="AC47" i="116"/>
  <c r="AC51" i="116"/>
  <c r="C12" i="83"/>
  <c r="E12" i="83"/>
  <c r="C13" i="83"/>
  <c r="E13" i="83"/>
  <c r="C14" i="83"/>
  <c r="E14" i="83"/>
  <c r="C15" i="83"/>
  <c r="E15" i="83"/>
  <c r="C16" i="83"/>
  <c r="E16" i="83"/>
  <c r="C17" i="83"/>
  <c r="E17" i="83"/>
  <c r="E11" i="83"/>
  <c r="C11" i="83"/>
  <c r="J20" i="131" l="1"/>
  <c r="P37" i="79" s="1"/>
  <c r="I20" i="131"/>
  <c r="O37" i="79" s="1"/>
  <c r="M20" i="131"/>
  <c r="S37" i="79" s="1"/>
  <c r="N20" i="131"/>
  <c r="T37" i="79" s="1"/>
  <c r="K20" i="131"/>
  <c r="Q37" i="79" s="1"/>
  <c r="L15" i="131"/>
  <c r="R32" i="79" s="1"/>
  <c r="I15" i="131"/>
  <c r="O32" i="79" s="1"/>
  <c r="K15" i="131"/>
  <c r="Q32" i="79" s="1"/>
  <c r="L20" i="131"/>
  <c r="R37" i="79" s="1"/>
  <c r="K19" i="131"/>
  <c r="Q36" i="79" s="1"/>
  <c r="O19" i="131"/>
  <c r="U36" i="79" s="1"/>
  <c r="O20" i="131"/>
  <c r="U37" i="79" s="1"/>
  <c r="P20" i="131"/>
  <c r="V37" i="79" s="1"/>
  <c r="L19" i="131"/>
  <c r="R36" i="79" s="1"/>
  <c r="O15" i="131"/>
  <c r="U32" i="79" s="1"/>
  <c r="P19" i="131"/>
  <c r="V36" i="79" s="1"/>
  <c r="J15" i="131"/>
  <c r="P32" i="79" s="1"/>
  <c r="I19" i="131"/>
  <c r="O36" i="79" s="1"/>
  <c r="M19" i="131"/>
  <c r="S36" i="79" s="1"/>
  <c r="N19" i="131"/>
  <c r="T36" i="79" s="1"/>
  <c r="M15" i="131"/>
  <c r="S32" i="79" s="1"/>
  <c r="N15" i="131"/>
  <c r="T32" i="79" s="1"/>
  <c r="J19" i="131"/>
  <c r="P36" i="79" s="1"/>
  <c r="O17" i="131"/>
  <c r="U34" i="79" s="1"/>
  <c r="P17" i="131"/>
  <c r="V34" i="79" s="1"/>
  <c r="L18" i="131"/>
  <c r="R35" i="79" s="1"/>
  <c r="N18" i="131"/>
  <c r="T35" i="79" s="1"/>
  <c r="L17" i="131"/>
  <c r="R34" i="79" s="1"/>
  <c r="J17" i="131"/>
  <c r="P34" i="79" s="1"/>
  <c r="I18" i="131"/>
  <c r="O35" i="79" s="1"/>
  <c r="I17" i="131"/>
  <c r="O34" i="79" s="1"/>
  <c r="N17" i="131"/>
  <c r="T34" i="79" s="1"/>
  <c r="M18" i="131"/>
  <c r="S35" i="79" s="1"/>
  <c r="K17" i="131"/>
  <c r="Q34" i="79" s="1"/>
  <c r="M17" i="131"/>
  <c r="S34" i="79" s="1"/>
  <c r="P18" i="131"/>
  <c r="V35" i="79" s="1"/>
  <c r="K18" i="131"/>
  <c r="Q35" i="79" s="1"/>
  <c r="L16" i="131"/>
  <c r="R33" i="79" s="1"/>
  <c r="K16" i="131"/>
  <c r="Q33" i="79" s="1"/>
  <c r="O16" i="131"/>
  <c r="U33" i="79" s="1"/>
  <c r="J18" i="131"/>
  <c r="P35" i="79" s="1"/>
  <c r="O18" i="131"/>
  <c r="U35" i="79" s="1"/>
  <c r="M16" i="131"/>
  <c r="S33" i="79" s="1"/>
  <c r="J16" i="131"/>
  <c r="P33" i="79" s="1"/>
  <c r="P16" i="131"/>
  <c r="V33" i="79" s="1"/>
  <c r="N16" i="131"/>
  <c r="T33" i="79" s="1"/>
  <c r="I16" i="131"/>
  <c r="O33" i="79" s="1"/>
  <c r="P15" i="128"/>
  <c r="K32" i="79" s="1"/>
  <c r="I15" i="128"/>
  <c r="D32" i="79" s="1"/>
  <c r="J15" i="128"/>
  <c r="E32" i="79" s="1"/>
  <c r="N15" i="128"/>
  <c r="I32" i="79" s="1"/>
  <c r="K15" i="128"/>
  <c r="F32" i="79" s="1"/>
  <c r="M15" i="128"/>
  <c r="H32" i="79" s="1"/>
  <c r="M16" i="128"/>
  <c r="H33" i="79" s="1"/>
  <c r="O15" i="128"/>
  <c r="J32" i="79" s="1"/>
  <c r="L15" i="128"/>
  <c r="G32" i="79" s="1"/>
  <c r="P16" i="128"/>
  <c r="K33" i="79" s="1"/>
  <c r="J16" i="128"/>
  <c r="E33" i="79" s="1"/>
  <c r="P18" i="128"/>
  <c r="K35" i="79" s="1"/>
  <c r="I18" i="128"/>
  <c r="D35" i="79" s="1"/>
  <c r="K16" i="128"/>
  <c r="F33" i="79" s="1"/>
  <c r="N16" i="128"/>
  <c r="I33" i="79" s="1"/>
  <c r="I16" i="128"/>
  <c r="D33" i="79" s="1"/>
  <c r="M18" i="128"/>
  <c r="H35" i="79" s="1"/>
  <c r="L18" i="128"/>
  <c r="G35" i="79" s="1"/>
  <c r="O18" i="128"/>
  <c r="J35" i="79" s="1"/>
  <c r="K17" i="128"/>
  <c r="F34" i="79" s="1"/>
  <c r="N18" i="128"/>
  <c r="I35" i="79" s="1"/>
  <c r="J19" i="128"/>
  <c r="E36" i="79" s="1"/>
  <c r="L17" i="128"/>
  <c r="G34" i="79" s="1"/>
  <c r="P17" i="128"/>
  <c r="K34" i="79" s="1"/>
  <c r="K19" i="128"/>
  <c r="F36" i="79" s="1"/>
  <c r="I17" i="128"/>
  <c r="D34" i="79" s="1"/>
  <c r="L16" i="128"/>
  <c r="G33" i="79" s="1"/>
  <c r="O16" i="128"/>
  <c r="J33" i="79" s="1"/>
  <c r="M17" i="128"/>
  <c r="H34" i="79" s="1"/>
  <c r="J17" i="128"/>
  <c r="E34" i="79" s="1"/>
  <c r="J18" i="128"/>
  <c r="E35" i="79" s="1"/>
  <c r="K18" i="128"/>
  <c r="F35" i="79" s="1"/>
  <c r="L20" i="128"/>
  <c r="G37" i="79" s="1"/>
  <c r="I19" i="128"/>
  <c r="D36" i="79" s="1"/>
  <c r="M19" i="128"/>
  <c r="H36" i="79" s="1"/>
  <c r="P19" i="128"/>
  <c r="K36" i="79" s="1"/>
  <c r="O17" i="128"/>
  <c r="J34" i="79" s="1"/>
  <c r="N17" i="128"/>
  <c r="I34" i="79" s="1"/>
  <c r="O20" i="128"/>
  <c r="J37" i="79" s="1"/>
  <c r="O19" i="128"/>
  <c r="J36" i="79" s="1"/>
  <c r="N19" i="128"/>
  <c r="I36" i="79" s="1"/>
  <c r="J20" i="128"/>
  <c r="E37" i="79" s="1"/>
  <c r="L19" i="128"/>
  <c r="G36" i="79" s="1"/>
  <c r="K20" i="128"/>
  <c r="F37" i="79" s="1"/>
  <c r="P20" i="128"/>
  <c r="K37" i="79" s="1"/>
  <c r="I20" i="128"/>
  <c r="D37" i="79" s="1"/>
  <c r="N20" i="128"/>
  <c r="I37" i="79" s="1"/>
  <c r="M20" i="128"/>
  <c r="H37" i="79" s="1"/>
  <c r="K15" i="125"/>
  <c r="Q22" i="79" s="1"/>
  <c r="N19" i="122"/>
  <c r="I26" i="79" s="1"/>
  <c r="N15" i="125"/>
  <c r="T22" i="79" s="1"/>
  <c r="M15" i="125"/>
  <c r="S22" i="79" s="1"/>
  <c r="P15" i="125"/>
  <c r="V22" i="79" s="1"/>
  <c r="J15" i="125"/>
  <c r="P22" i="79" s="1"/>
  <c r="N18" i="125"/>
  <c r="T25" i="79" s="1"/>
  <c r="J18" i="125"/>
  <c r="P25" i="79" s="1"/>
  <c r="L18" i="125"/>
  <c r="R25" i="79" s="1"/>
  <c r="J20" i="125"/>
  <c r="P27" i="79" s="1"/>
  <c r="I18" i="125"/>
  <c r="O25" i="79" s="1"/>
  <c r="L15" i="125"/>
  <c r="R22" i="79" s="1"/>
  <c r="I15" i="125"/>
  <c r="O22" i="79" s="1"/>
  <c r="O15" i="125"/>
  <c r="U22" i="79" s="1"/>
  <c r="M20" i="125"/>
  <c r="S27" i="79" s="1"/>
  <c r="P18" i="125"/>
  <c r="V25" i="79" s="1"/>
  <c r="K18" i="125"/>
  <c r="Q25" i="79" s="1"/>
  <c r="J16" i="125"/>
  <c r="P23" i="79" s="1"/>
  <c r="L16" i="125"/>
  <c r="R23" i="79" s="1"/>
  <c r="K17" i="125"/>
  <c r="Q24" i="79" s="1"/>
  <c r="M18" i="125"/>
  <c r="S25" i="79" s="1"/>
  <c r="O18" i="125"/>
  <c r="U25" i="79" s="1"/>
  <c r="I17" i="125"/>
  <c r="O24" i="79" s="1"/>
  <c r="N16" i="125"/>
  <c r="T23" i="79" s="1"/>
  <c r="P16" i="125"/>
  <c r="V23" i="79" s="1"/>
  <c r="K16" i="125"/>
  <c r="Q23" i="79" s="1"/>
  <c r="I16" i="125"/>
  <c r="O23" i="79" s="1"/>
  <c r="I19" i="125"/>
  <c r="O26" i="79" s="1"/>
  <c r="N19" i="125"/>
  <c r="T26" i="79" s="1"/>
  <c r="O16" i="125"/>
  <c r="U23" i="79" s="1"/>
  <c r="M16" i="125"/>
  <c r="S23" i="79" s="1"/>
  <c r="K19" i="125"/>
  <c r="Q26" i="79" s="1"/>
  <c r="L17" i="125"/>
  <c r="R24" i="79" s="1"/>
  <c r="J17" i="125"/>
  <c r="P24" i="79" s="1"/>
  <c r="P17" i="125"/>
  <c r="V24" i="79" s="1"/>
  <c r="N17" i="125"/>
  <c r="T24" i="79" s="1"/>
  <c r="O19" i="125"/>
  <c r="U26" i="79" s="1"/>
  <c r="L20" i="125"/>
  <c r="R27" i="79" s="1"/>
  <c r="O17" i="125"/>
  <c r="U24" i="79" s="1"/>
  <c r="M17" i="125"/>
  <c r="S24" i="79" s="1"/>
  <c r="M19" i="125"/>
  <c r="S26" i="79" s="1"/>
  <c r="P19" i="125"/>
  <c r="V26" i="79" s="1"/>
  <c r="J19" i="125"/>
  <c r="P26" i="79" s="1"/>
  <c r="L19" i="125"/>
  <c r="R26" i="79" s="1"/>
  <c r="O20" i="125"/>
  <c r="U27" i="79" s="1"/>
  <c r="I20" i="125"/>
  <c r="O27" i="79" s="1"/>
  <c r="P20" i="125"/>
  <c r="V27" i="79" s="1"/>
  <c r="N20" i="125"/>
  <c r="T27" i="79" s="1"/>
  <c r="K20" i="125"/>
  <c r="Q27" i="79" s="1"/>
  <c r="J16" i="122"/>
  <c r="E23" i="79" s="1"/>
  <c r="K16" i="122"/>
  <c r="F23" i="79" s="1"/>
  <c r="O16" i="122"/>
  <c r="J23" i="79" s="1"/>
  <c r="L16" i="122"/>
  <c r="G23" i="79" s="1"/>
  <c r="P16" i="122"/>
  <c r="K23" i="79" s="1"/>
  <c r="I16" i="122"/>
  <c r="D23" i="79" s="1"/>
  <c r="N16" i="122"/>
  <c r="I23" i="79" s="1"/>
  <c r="M16" i="122"/>
  <c r="H23" i="79" s="1"/>
  <c r="I19" i="122"/>
  <c r="D26" i="79" s="1"/>
  <c r="N20" i="122"/>
  <c r="I27" i="79" s="1"/>
  <c r="K19" i="122"/>
  <c r="F26" i="79" s="1"/>
  <c r="I20" i="122"/>
  <c r="D27" i="79" s="1"/>
  <c r="L20" i="122"/>
  <c r="G27" i="79" s="1"/>
  <c r="L19" i="122"/>
  <c r="G26" i="79" s="1"/>
  <c r="P20" i="122"/>
  <c r="K27" i="79" s="1"/>
  <c r="O20" i="122"/>
  <c r="J27" i="79" s="1"/>
  <c r="M20" i="122"/>
  <c r="H27" i="79" s="1"/>
  <c r="J19" i="122"/>
  <c r="E26" i="79" s="1"/>
  <c r="M19" i="122"/>
  <c r="H26" i="79" s="1"/>
  <c r="L17" i="122"/>
  <c r="G24" i="79" s="1"/>
  <c r="O19" i="122"/>
  <c r="J26" i="79" s="1"/>
  <c r="P19" i="122"/>
  <c r="K26" i="79" s="1"/>
  <c r="I17" i="122"/>
  <c r="D24" i="79" s="1"/>
  <c r="I18" i="122"/>
  <c r="D25" i="79" s="1"/>
  <c r="K17" i="122"/>
  <c r="F24" i="79" s="1"/>
  <c r="M17" i="122"/>
  <c r="H24" i="79" s="1"/>
  <c r="K20" i="122"/>
  <c r="F27" i="79" s="1"/>
  <c r="J20" i="122"/>
  <c r="E27" i="79" s="1"/>
  <c r="O17" i="122"/>
  <c r="J24" i="79" s="1"/>
  <c r="P18" i="122"/>
  <c r="K25" i="79" s="1"/>
  <c r="I15" i="122"/>
  <c r="D22" i="79" s="1"/>
  <c r="M18" i="122"/>
  <c r="H25" i="79" s="1"/>
  <c r="L18" i="122"/>
  <c r="G25" i="79" s="1"/>
  <c r="J17" i="122"/>
  <c r="E24" i="79" s="1"/>
  <c r="J15" i="122"/>
  <c r="E22" i="79" s="1"/>
  <c r="K15" i="122"/>
  <c r="F22" i="79" s="1"/>
  <c r="N15" i="122"/>
  <c r="I22" i="79" s="1"/>
  <c r="J18" i="122"/>
  <c r="E25" i="79" s="1"/>
  <c r="K18" i="122"/>
  <c r="F25" i="79" s="1"/>
  <c r="N18" i="122"/>
  <c r="I25" i="79" s="1"/>
  <c r="O18" i="122"/>
  <c r="J25" i="79" s="1"/>
  <c r="M15" i="122"/>
  <c r="H22" i="79" s="1"/>
  <c r="P15" i="122"/>
  <c r="K22" i="79" s="1"/>
  <c r="P17" i="122"/>
  <c r="K24" i="79" s="1"/>
  <c r="N17" i="122"/>
  <c r="I24" i="79" s="1"/>
  <c r="O15" i="122"/>
  <c r="J22" i="79" s="1"/>
  <c r="L15" i="122"/>
  <c r="G22" i="79" s="1"/>
  <c r="Z3" i="116"/>
  <c r="AA3" i="116"/>
  <c r="T5" i="116"/>
  <c r="Z7" i="116"/>
  <c r="AA8" i="116"/>
  <c r="AA9" i="116"/>
  <c r="W5" i="116" a="1"/>
  <c r="W5" i="116" s="1"/>
  <c r="X5" i="116"/>
  <c r="Y5" i="116"/>
  <c r="U5" i="116"/>
  <c r="AA5" i="116" s="1"/>
  <c r="AA7" i="116"/>
  <c r="W4" i="116" a="1"/>
  <c r="W4" i="116" s="1"/>
  <c r="U4" i="116" a="1"/>
  <c r="U4" i="116" s="1"/>
  <c r="T4" i="116" a="1"/>
  <c r="T4" i="116" s="1"/>
  <c r="Y4" i="116"/>
  <c r="V4" i="116" a="1"/>
  <c r="V4" i="116" s="1"/>
  <c r="X4" i="116"/>
  <c r="AA6" i="116"/>
  <c r="Z8" i="116"/>
  <c r="Z6" i="116"/>
  <c r="Z9" i="116"/>
  <c r="C19" i="83"/>
  <c r="E19" i="83"/>
  <c r="C20" i="83"/>
  <c r="E20" i="83"/>
  <c r="C21" i="83"/>
  <c r="E21" i="83"/>
  <c r="C22" i="83"/>
  <c r="E22" i="83"/>
  <c r="C23" i="83"/>
  <c r="E23" i="83"/>
  <c r="C24" i="83"/>
  <c r="E24" i="83"/>
  <c r="E18" i="83"/>
  <c r="C18" i="83"/>
  <c r="AB3" i="116" l="1"/>
  <c r="AB9" i="116"/>
  <c r="AB7" i="116"/>
  <c r="T12" i="116"/>
  <c r="AB8" i="116"/>
  <c r="AB6" i="116"/>
  <c r="Z5" i="116"/>
  <c r="AB5" i="116" s="1"/>
  <c r="Z4" i="116"/>
  <c r="AA4" i="116"/>
  <c r="C26" i="83"/>
  <c r="E26" i="83"/>
  <c r="C27" i="83"/>
  <c r="E27" i="83"/>
  <c r="C28" i="83"/>
  <c r="E28" i="83"/>
  <c r="C29" i="83"/>
  <c r="E29" i="83"/>
  <c r="C30" i="83"/>
  <c r="E30" i="83"/>
  <c r="C31" i="83"/>
  <c r="E31" i="83"/>
  <c r="E25" i="83"/>
  <c r="C25" i="83"/>
  <c r="S3" i="119" l="1"/>
  <c r="AB4" i="116"/>
  <c r="H22" i="116" s="1" a="1"/>
  <c r="H22" i="116" s="1"/>
  <c r="Q22" i="116" l="1"/>
  <c r="C17" i="79"/>
  <c r="H16" i="116" a="1"/>
  <c r="H16" i="116" s="1"/>
  <c r="H17" i="116" a="1"/>
  <c r="H17" i="116" s="1"/>
  <c r="H19" i="116" a="1"/>
  <c r="H19" i="116" s="1"/>
  <c r="H20" i="116" a="1"/>
  <c r="H20" i="116" s="1"/>
  <c r="H21" i="116" a="1"/>
  <c r="H21" i="116" s="1"/>
  <c r="H18" i="116" a="1"/>
  <c r="H18" i="116" s="1"/>
  <c r="O22" i="116"/>
  <c r="J17" i="79" s="1"/>
  <c r="K22" i="116"/>
  <c r="F17" i="79" s="1"/>
  <c r="N22" i="116"/>
  <c r="I17" i="79" s="1"/>
  <c r="J22" i="116"/>
  <c r="E17" i="79" s="1"/>
  <c r="M22" i="116"/>
  <c r="H17" i="79" s="1"/>
  <c r="I22" i="116"/>
  <c r="D17" i="79" s="1"/>
  <c r="L22" i="116"/>
  <c r="G17" i="79" s="1"/>
  <c r="P22" i="116"/>
  <c r="K17" i="79" s="1"/>
  <c r="S4" i="119"/>
  <c r="Q18" i="116" l="1"/>
  <c r="C13" i="79"/>
  <c r="E8" i="55" s="1"/>
  <c r="B2" i="54" s="1"/>
  <c r="Q17" i="116"/>
  <c r="C12" i="79"/>
  <c r="E8" i="52" s="1"/>
  <c r="B2" i="51" s="1"/>
  <c r="Q21" i="116"/>
  <c r="C16" i="79"/>
  <c r="Q20" i="116"/>
  <c r="C15" i="79"/>
  <c r="Q16" i="116"/>
  <c r="C11" i="79"/>
  <c r="E8" i="15" s="1"/>
  <c r="B2" i="14" s="1"/>
  <c r="Q19" i="116"/>
  <c r="C14" i="79"/>
  <c r="E8" i="59" s="1"/>
  <c r="B2" i="58" s="1"/>
  <c r="O16" i="116"/>
  <c r="J11" i="79" s="1"/>
  <c r="J21" i="116"/>
  <c r="E16" i="79" s="1"/>
  <c r="L16" i="116"/>
  <c r="G11" i="79" s="1"/>
  <c r="P16" i="116"/>
  <c r="K11" i="79" s="1"/>
  <c r="L20" i="116"/>
  <c r="G15" i="79" s="1"/>
  <c r="L17" i="116"/>
  <c r="G12" i="79" s="1"/>
  <c r="M17" i="116"/>
  <c r="H12" i="79" s="1"/>
  <c r="J16" i="116"/>
  <c r="E11" i="79" s="1"/>
  <c r="J17" i="116"/>
  <c r="E12" i="79" s="1"/>
  <c r="M19" i="116"/>
  <c r="H14" i="79" s="1"/>
  <c r="O17" i="116"/>
  <c r="J12" i="79" s="1"/>
  <c r="N16" i="116"/>
  <c r="I11" i="79" s="1"/>
  <c r="P20" i="116"/>
  <c r="K15" i="79" s="1"/>
  <c r="O19" i="116"/>
  <c r="J14" i="79" s="1"/>
  <c r="J20" i="116"/>
  <c r="E15" i="79" s="1"/>
  <c r="M16" i="116"/>
  <c r="H11" i="79" s="1"/>
  <c r="N20" i="116"/>
  <c r="I15" i="79" s="1"/>
  <c r="N17" i="116"/>
  <c r="I12" i="79" s="1"/>
  <c r="P17" i="116"/>
  <c r="K12" i="79" s="1"/>
  <c r="N19" i="116"/>
  <c r="I14" i="79" s="1"/>
  <c r="P19" i="116"/>
  <c r="K14" i="79" s="1"/>
  <c r="N21" i="116"/>
  <c r="I16" i="79" s="1"/>
  <c r="K17" i="116"/>
  <c r="F12" i="79" s="1"/>
  <c r="I17" i="116"/>
  <c r="D12" i="79" s="1"/>
  <c r="K19" i="116"/>
  <c r="F14" i="79" s="1"/>
  <c r="I19" i="116"/>
  <c r="D14" i="79" s="1"/>
  <c r="I16" i="116"/>
  <c r="D11" i="79" s="1"/>
  <c r="K16" i="116"/>
  <c r="F11" i="79" s="1"/>
  <c r="J19" i="116"/>
  <c r="E14" i="79" s="1"/>
  <c r="L19" i="116"/>
  <c r="G14" i="79" s="1"/>
  <c r="L21" i="116"/>
  <c r="G16" i="79" s="1"/>
  <c r="L18" i="116"/>
  <c r="G13" i="79" s="1"/>
  <c r="P21" i="116"/>
  <c r="K16" i="79" s="1"/>
  <c r="J18" i="116"/>
  <c r="E13" i="79" s="1"/>
  <c r="K21" i="116"/>
  <c r="F16" i="79" s="1"/>
  <c r="I21" i="116"/>
  <c r="D16" i="79" s="1"/>
  <c r="I20" i="116"/>
  <c r="D15" i="79" s="1"/>
  <c r="K20" i="116"/>
  <c r="F15" i="79" s="1"/>
  <c r="N18" i="116"/>
  <c r="I13" i="79" s="1"/>
  <c r="O21" i="116"/>
  <c r="J16" i="79" s="1"/>
  <c r="M21" i="116"/>
  <c r="H16" i="79" s="1"/>
  <c r="M20" i="116"/>
  <c r="H15" i="79" s="1"/>
  <c r="O20" i="116"/>
  <c r="J15" i="79" s="1"/>
  <c r="P18" i="116"/>
  <c r="K13" i="79" s="1"/>
  <c r="I18" i="116"/>
  <c r="D13" i="79" s="1"/>
  <c r="K18" i="116"/>
  <c r="F13" i="79" s="1"/>
  <c r="M18" i="116"/>
  <c r="H13" i="79" s="1"/>
  <c r="O18" i="116"/>
  <c r="J13" i="79" s="1"/>
  <c r="C33" i="83"/>
  <c r="E33" i="83"/>
  <c r="C34" i="83"/>
  <c r="E34" i="83"/>
  <c r="C35" i="83"/>
  <c r="E35" i="83"/>
  <c r="C36" i="83"/>
  <c r="E36" i="83"/>
  <c r="C37" i="83"/>
  <c r="E37" i="83"/>
  <c r="C38" i="83"/>
  <c r="E38" i="83"/>
  <c r="E32" i="83"/>
  <c r="C32" i="83"/>
  <c r="S5" i="119" l="1"/>
  <c r="S6" i="119" l="1"/>
  <c r="C40" i="83"/>
  <c r="E40" i="83"/>
  <c r="C41" i="83"/>
  <c r="E41" i="83"/>
  <c r="C42" i="83"/>
  <c r="E42" i="83"/>
  <c r="C43" i="83"/>
  <c r="E43" i="83"/>
  <c r="C44" i="83"/>
  <c r="E44" i="83"/>
  <c r="C45" i="83"/>
  <c r="E45" i="83"/>
  <c r="E39" i="83"/>
  <c r="C39" i="83"/>
  <c r="S7" i="119" l="1"/>
  <c r="S8" i="119" l="1"/>
  <c r="AH76" i="82"/>
  <c r="AG76" i="82"/>
  <c r="AH74" i="82"/>
  <c r="AF74" i="82" s="1"/>
  <c r="AG74" i="82"/>
  <c r="AE74" i="82" s="1"/>
  <c r="AH64" i="82"/>
  <c r="AG64" i="82"/>
  <c r="AH62" i="82"/>
  <c r="AF62" i="82" s="1"/>
  <c r="AG62" i="82"/>
  <c r="AH60" i="82"/>
  <c r="AF60" i="82" s="1"/>
  <c r="AG60" i="82"/>
  <c r="AH58" i="82"/>
  <c r="AG58" i="82"/>
  <c r="AH56" i="82"/>
  <c r="AG56" i="82"/>
  <c r="AH54" i="82"/>
  <c r="AF54" i="82" s="1"/>
  <c r="AG54" i="82"/>
  <c r="AE54" i="82" s="1"/>
  <c r="AH51" i="82"/>
  <c r="AG51" i="82"/>
  <c r="AH49" i="82"/>
  <c r="AG49" i="82"/>
  <c r="AE49" i="82"/>
  <c r="AH47" i="82"/>
  <c r="AG47" i="82"/>
  <c r="AH45" i="82"/>
  <c r="AF45" i="82" s="1"/>
  <c r="AG45" i="82"/>
  <c r="AP45" i="82" s="1"/>
  <c r="AH43" i="82"/>
  <c r="AG43" i="82"/>
  <c r="AH41" i="82"/>
  <c r="AF41" i="82" s="1"/>
  <c r="AG41" i="82"/>
  <c r="AP41" i="82" s="1"/>
  <c r="AH39" i="82"/>
  <c r="AG39" i="82"/>
  <c r="AH37" i="82"/>
  <c r="AF37" i="82" s="1"/>
  <c r="AG37" i="82"/>
  <c r="AQ76" i="81"/>
  <c r="AP76" i="81"/>
  <c r="AQ74" i="81"/>
  <c r="AP74" i="81"/>
  <c r="AY74" i="81" s="1"/>
  <c r="AQ64" i="81"/>
  <c r="AP64" i="81"/>
  <c r="AQ62" i="81"/>
  <c r="AP62" i="81"/>
  <c r="AQ60" i="81"/>
  <c r="AP60" i="81"/>
  <c r="AQ58" i="81"/>
  <c r="AO60" i="81" s="1"/>
  <c r="AP58" i="81"/>
  <c r="AY58" i="81" s="1"/>
  <c r="AQ56" i="81"/>
  <c r="AP56" i="81"/>
  <c r="AQ54" i="81"/>
  <c r="AP54" i="81"/>
  <c r="AN54" i="81" s="1"/>
  <c r="AQ51" i="81"/>
  <c r="AP51" i="81"/>
  <c r="AQ49" i="81"/>
  <c r="AP49" i="81"/>
  <c r="AN49" i="81" s="1"/>
  <c r="AQ47" i="81"/>
  <c r="AP47" i="81"/>
  <c r="AQ45" i="81"/>
  <c r="AP45" i="81"/>
  <c r="AQ43" i="81"/>
  <c r="AP43" i="81"/>
  <c r="AN43" i="81" s="1"/>
  <c r="AQ41" i="81"/>
  <c r="AO41" i="81" s="1"/>
  <c r="AP41" i="81"/>
  <c r="AN41" i="81"/>
  <c r="AQ39" i="81"/>
  <c r="AP39" i="81"/>
  <c r="AQ37" i="81"/>
  <c r="AP37" i="81"/>
  <c r="AQ34" i="81"/>
  <c r="AP34" i="81"/>
  <c r="AQ32" i="81"/>
  <c r="AP32" i="81"/>
  <c r="AQ30" i="81"/>
  <c r="AP30" i="81"/>
  <c r="AQ28" i="81"/>
  <c r="AP28" i="81"/>
  <c r="AN28" i="81"/>
  <c r="AQ26" i="81"/>
  <c r="AO26" i="81" s="1"/>
  <c r="AP26" i="81"/>
  <c r="AN26" i="81"/>
  <c r="AQ24" i="81"/>
  <c r="AP24" i="81"/>
  <c r="AQ22" i="81"/>
  <c r="AP22" i="81"/>
  <c r="AZ20" i="81" s="1"/>
  <c r="AN22" i="81"/>
  <c r="AQ20" i="81"/>
  <c r="AO20" i="81" s="1"/>
  <c r="AP20" i="81"/>
  <c r="AZ22" i="81" s="1"/>
  <c r="AN20" i="81"/>
  <c r="AQ18" i="81"/>
  <c r="AO18" i="81" s="1"/>
  <c r="AP18" i="81"/>
  <c r="AQ16" i="81"/>
  <c r="AP16" i="81"/>
  <c r="AZ18" i="81" s="1"/>
  <c r="AY14" i="81"/>
  <c r="AQ14" i="81"/>
  <c r="AP14" i="81"/>
  <c r="AQ12" i="81"/>
  <c r="AO12" i="81" s="1"/>
  <c r="AP12" i="81"/>
  <c r="AQ10" i="81"/>
  <c r="AO10" i="81" s="1"/>
  <c r="AP10" i="81"/>
  <c r="AN10" i="81" s="1"/>
  <c r="AQ8" i="81"/>
  <c r="AP8" i="81"/>
  <c r="AQ6" i="81"/>
  <c r="AO6" i="81" s="1"/>
  <c r="AP6" i="81"/>
  <c r="AN6" i="81" s="1"/>
  <c r="AQ4" i="81"/>
  <c r="AP4" i="81"/>
  <c r="AY62" i="81" l="1"/>
  <c r="AO64" i="81"/>
  <c r="AN74" i="81"/>
  <c r="AO56" i="81"/>
  <c r="AO51" i="81"/>
  <c r="AY51" i="81"/>
  <c r="AY45" i="81"/>
  <c r="AN45" i="81"/>
  <c r="AZ41" i="81"/>
  <c r="AO34" i="81"/>
  <c r="AY34" i="81"/>
  <c r="AO28" i="81"/>
  <c r="AY30" i="81"/>
  <c r="AY28" i="81"/>
  <c r="AO24" i="81"/>
  <c r="AZ26" i="81"/>
  <c r="AO22" i="81"/>
  <c r="AO16" i="81"/>
  <c r="AO14" i="81"/>
  <c r="AZ12" i="81"/>
  <c r="AN8" i="81"/>
  <c r="AY4" i="81"/>
  <c r="AN4" i="81"/>
  <c r="AP62" i="82"/>
  <c r="AP58" i="82"/>
  <c r="AF58" i="82"/>
  <c r="AF56" i="82"/>
  <c r="AF49" i="82"/>
  <c r="AF43" i="82"/>
  <c r="AF39" i="82"/>
  <c r="AE37" i="82"/>
  <c r="AY10" i="81"/>
  <c r="AZ30" i="81"/>
  <c r="BA30" i="81" s="1"/>
  <c r="AZ8" i="81"/>
  <c r="AZ14" i="81"/>
  <c r="BA14" i="81" s="1"/>
  <c r="AZ16" i="81"/>
  <c r="AN24" i="81"/>
  <c r="AZ24" i="81"/>
  <c r="AO32" i="81"/>
  <c r="AY43" i="81"/>
  <c r="AO47" i="81"/>
  <c r="AY49" i="81"/>
  <c r="AY60" i="81"/>
  <c r="AY54" i="81"/>
  <c r="AN58" i="81"/>
  <c r="AO76" i="81"/>
  <c r="AN62" i="81"/>
  <c r="AY76" i="81"/>
  <c r="AZ4" i="81"/>
  <c r="BA4" i="81" s="1"/>
  <c r="AQ64" i="82"/>
  <c r="AQ43" i="82"/>
  <c r="AP37" i="82"/>
  <c r="AQ39" i="82"/>
  <c r="AE45" i="82"/>
  <c r="AF51" i="82"/>
  <c r="AP54" i="82"/>
  <c r="AQ56" i="82"/>
  <c r="AE62" i="82"/>
  <c r="AF76" i="82"/>
  <c r="AQ47" i="82"/>
  <c r="AQ60" i="82"/>
  <c r="AE41" i="82"/>
  <c r="AF47" i="82"/>
  <c r="AP49" i="82"/>
  <c r="AQ51" i="82"/>
  <c r="AE58" i="82"/>
  <c r="AF64" i="82"/>
  <c r="AP74" i="82"/>
  <c r="AQ76" i="82"/>
  <c r="AQ37" i="82"/>
  <c r="AE39" i="82"/>
  <c r="AP39" i="82"/>
  <c r="AQ41" i="82"/>
  <c r="AR41" i="82" s="1"/>
  <c r="AE43" i="82"/>
  <c r="AP43" i="82"/>
  <c r="AQ45" i="82"/>
  <c r="AR45" i="82" s="1"/>
  <c r="AE47" i="82"/>
  <c r="AP47" i="82"/>
  <c r="AQ49" i="82"/>
  <c r="AE51" i="82"/>
  <c r="AP51" i="82"/>
  <c r="AQ54" i="82"/>
  <c r="AE56" i="82"/>
  <c r="AP56" i="82"/>
  <c r="AQ58" i="82"/>
  <c r="AR58" i="82" s="1"/>
  <c r="AE60" i="82"/>
  <c r="AP60" i="82"/>
  <c r="AQ62" i="82"/>
  <c r="AR62" i="82" s="1"/>
  <c r="AE64" i="82"/>
  <c r="AP64" i="82"/>
  <c r="AQ74" i="82"/>
  <c r="AE76" i="82"/>
  <c r="AP76" i="82"/>
  <c r="AR76" i="82" s="1"/>
  <c r="AY6" i="81"/>
  <c r="AN14" i="81"/>
  <c r="AZ34" i="81"/>
  <c r="BA34" i="81" s="1"/>
  <c r="AN32" i="81"/>
  <c r="AO4" i="81"/>
  <c r="AZ6" i="81"/>
  <c r="AO8" i="81"/>
  <c r="AZ10" i="81"/>
  <c r="AN16" i="81"/>
  <c r="AZ28" i="81"/>
  <c r="AO30" i="81"/>
  <c r="AY37" i="81"/>
  <c r="AZ54" i="81"/>
  <c r="AN56" i="81"/>
  <c r="AY56" i="81"/>
  <c r="AY8" i="81"/>
  <c r="BA8" i="81" s="1"/>
  <c r="AY12" i="81"/>
  <c r="BA12" i="81" s="1"/>
  <c r="BF12" i="81" s="1"/>
  <c r="AN34" i="81"/>
  <c r="AO37" i="81"/>
  <c r="AO39" i="81"/>
  <c r="AY39" i="81"/>
  <c r="AN39" i="81"/>
  <c r="AZ37" i="81"/>
  <c r="AN37" i="81"/>
  <c r="AN12" i="81"/>
  <c r="AY16" i="81"/>
  <c r="AN18" i="81"/>
  <c r="AY32" i="81"/>
  <c r="AZ45" i="81"/>
  <c r="BA45" i="81" s="1"/>
  <c r="AN47" i="81"/>
  <c r="AY47" i="81"/>
  <c r="AZ62" i="81"/>
  <c r="BA62" i="81" s="1"/>
  <c r="AN64" i="81"/>
  <c r="AN30" i="81"/>
  <c r="AZ32" i="81"/>
  <c r="AZ43" i="81"/>
  <c r="AO43" i="81"/>
  <c r="AY18" i="81"/>
  <c r="BA18" i="81" s="1"/>
  <c r="AY20" i="81"/>
  <c r="BA20" i="81" s="1"/>
  <c r="AY22" i="81"/>
  <c r="BA22" i="81" s="1"/>
  <c r="BF22" i="81" s="1"/>
  <c r="AY24" i="81"/>
  <c r="BA24" i="81" s="1"/>
  <c r="AY26" i="81"/>
  <c r="BA26" i="81" s="1"/>
  <c r="AZ49" i="81"/>
  <c r="AN51" i="81"/>
  <c r="AZ58" i="81"/>
  <c r="BA58" i="81" s="1"/>
  <c r="AN60" i="81"/>
  <c r="AZ74" i="81"/>
  <c r="BA74" i="81" s="1"/>
  <c r="AN76" i="81"/>
  <c r="AZ39" i="81"/>
  <c r="AY41" i="81"/>
  <c r="BA41" i="81" s="1"/>
  <c r="AY64" i="81"/>
  <c r="AO45" i="81"/>
  <c r="AZ47" i="81"/>
  <c r="AO49" i="81"/>
  <c r="AZ51" i="81"/>
  <c r="AO54" i="81"/>
  <c r="AZ56" i="81"/>
  <c r="AO58" i="81"/>
  <c r="AZ60" i="81"/>
  <c r="AO62" i="81"/>
  <c r="AZ64" i="81"/>
  <c r="AO74" i="81"/>
  <c r="AZ76" i="81"/>
  <c r="BA76" i="81" s="1"/>
  <c r="BF76" i="81" s="1"/>
  <c r="BA60" i="81" l="1"/>
  <c r="BF60" i="81" s="1"/>
  <c r="BA54" i="81"/>
  <c r="BA51" i="81"/>
  <c r="BA49" i="81"/>
  <c r="BF49" i="81" s="1"/>
  <c r="BF41" i="81"/>
  <c r="BA43" i="81"/>
  <c r="BF43" i="81" s="1"/>
  <c r="BA28" i="81"/>
  <c r="BF26" i="81"/>
  <c r="BA16" i="81"/>
  <c r="BF16" i="81" s="1"/>
  <c r="BA10" i="81"/>
  <c r="BF10" i="81" s="1"/>
  <c r="AR74" i="82"/>
  <c r="AW74" i="82" s="1"/>
  <c r="AR60" i="82"/>
  <c r="AW60" i="82" s="1"/>
  <c r="AR54" i="82"/>
  <c r="AR49" i="82"/>
  <c r="AW49" i="82" s="1"/>
  <c r="AR43" i="82"/>
  <c r="AW43" i="82" s="1"/>
  <c r="AR51" i="82"/>
  <c r="AR37" i="82"/>
  <c r="BA32" i="81"/>
  <c r="BF32" i="81" s="1"/>
  <c r="AR56" i="82"/>
  <c r="AW56" i="82" s="1"/>
  <c r="AR39" i="82"/>
  <c r="AW39" i="82" s="1"/>
  <c r="AR64" i="82"/>
  <c r="AW64" i="82" s="1"/>
  <c r="AR47" i="82"/>
  <c r="AW47" i="82" s="1"/>
  <c r="AW54" i="82"/>
  <c r="AX54" i="82" s="1"/>
  <c r="AW37" i="82"/>
  <c r="AX37" i="82" s="1"/>
  <c r="AW76" i="82"/>
  <c r="AX76" i="82" s="1"/>
  <c r="AW58" i="82"/>
  <c r="AX58" i="82" s="1"/>
  <c r="AW41" i="82"/>
  <c r="AX41" i="82" s="1"/>
  <c r="BF28" i="81"/>
  <c r="BF30" i="81"/>
  <c r="BF58" i="81"/>
  <c r="BG58" i="81" s="1"/>
  <c r="BG26" i="81"/>
  <c r="BF24" i="81"/>
  <c r="BG24" i="81" s="1"/>
  <c r="BA47" i="81"/>
  <c r="BF47" i="81" s="1"/>
  <c r="BA37" i="81"/>
  <c r="BF74" i="81"/>
  <c r="BG74" i="81" s="1"/>
  <c r="BA64" i="81"/>
  <c r="BF64" i="81" s="1"/>
  <c r="BF20" i="81"/>
  <c r="BG20" i="81" s="1"/>
  <c r="BA56" i="81"/>
  <c r="BF56" i="81" s="1"/>
  <c r="BA39" i="81"/>
  <c r="BF14" i="81"/>
  <c r="BG14" i="81" s="1"/>
  <c r="BF8" i="81"/>
  <c r="BG8" i="81" s="1"/>
  <c r="BA6" i="81"/>
  <c r="C29" i="56"/>
  <c r="C30" i="56"/>
  <c r="C31" i="56"/>
  <c r="C32" i="56"/>
  <c r="C33" i="56"/>
  <c r="C34" i="56"/>
  <c r="C35" i="56"/>
  <c r="C36" i="56"/>
  <c r="C37" i="56"/>
  <c r="C38" i="56"/>
  <c r="C39" i="56"/>
  <c r="C40" i="56"/>
  <c r="C41" i="56"/>
  <c r="C42" i="56"/>
  <c r="C28" i="56"/>
  <c r="C29" i="60"/>
  <c r="C30" i="60"/>
  <c r="C31" i="60"/>
  <c r="C32" i="60"/>
  <c r="C33" i="60"/>
  <c r="C34" i="60"/>
  <c r="C35" i="60"/>
  <c r="C36" i="60"/>
  <c r="C37" i="60"/>
  <c r="C38" i="60"/>
  <c r="C39" i="60"/>
  <c r="C40" i="60"/>
  <c r="C41" i="60"/>
  <c r="C42" i="60"/>
  <c r="C28" i="60"/>
  <c r="C29" i="53"/>
  <c r="C30" i="53"/>
  <c r="C31" i="53"/>
  <c r="C32" i="53"/>
  <c r="C33" i="53"/>
  <c r="C34" i="53"/>
  <c r="C35" i="53"/>
  <c r="C36" i="53"/>
  <c r="C37" i="53"/>
  <c r="C38" i="53"/>
  <c r="C39" i="53"/>
  <c r="C40" i="53"/>
  <c r="C41" i="53"/>
  <c r="C42" i="53"/>
  <c r="C28" i="53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28" i="38"/>
  <c r="BG76" i="81" l="1"/>
  <c r="BF51" i="81"/>
  <c r="BG49" i="81"/>
  <c r="BG51" i="81"/>
  <c r="BG43" i="81"/>
  <c r="BF39" i="81"/>
  <c r="BF34" i="81"/>
  <c r="BG32" i="81" s="1"/>
  <c r="BG28" i="81"/>
  <c r="BF18" i="81"/>
  <c r="BG16" i="81" s="1"/>
  <c r="AW51" i="82"/>
  <c r="AX51" i="82" s="1"/>
  <c r="AW45" i="82"/>
  <c r="AX47" i="82" s="1"/>
  <c r="BG12" i="81"/>
  <c r="BG30" i="81"/>
  <c r="AW62" i="82"/>
  <c r="AX62" i="82" s="1"/>
  <c r="AX74" i="82"/>
  <c r="AX43" i="82"/>
  <c r="AX56" i="82"/>
  <c r="AX39" i="82"/>
  <c r="AX60" i="82"/>
  <c r="AX45" i="82"/>
  <c r="BF37" i="81"/>
  <c r="BF54" i="81"/>
  <c r="BG54" i="81" s="1"/>
  <c r="BF6" i="81"/>
  <c r="BF4" i="81"/>
  <c r="BF45" i="81"/>
  <c r="BG45" i="81" s="1"/>
  <c r="BG34" i="81"/>
  <c r="BG22" i="81"/>
  <c r="BG60" i="81"/>
  <c r="BG10" i="81"/>
  <c r="BG41" i="81"/>
  <c r="BF62" i="81"/>
  <c r="BG62" i="81" s="1"/>
  <c r="BG37" i="81" l="1"/>
  <c r="BG18" i="81"/>
  <c r="AX49" i="82"/>
  <c r="BG6" i="81"/>
  <c r="BG47" i="81"/>
  <c r="BG39" i="81"/>
  <c r="AX64" i="82"/>
  <c r="BG64" i="81"/>
  <c r="BG56" i="81"/>
  <c r="BG4" i="81"/>
  <c r="E42" i="60"/>
  <c r="E41" i="60"/>
  <c r="E40" i="60"/>
  <c r="E39" i="60"/>
  <c r="E38" i="60"/>
  <c r="E37" i="60"/>
  <c r="E36" i="60"/>
  <c r="E35" i="60"/>
  <c r="E34" i="60"/>
  <c r="E33" i="60"/>
  <c r="E32" i="60"/>
  <c r="E31" i="60"/>
  <c r="E30" i="60"/>
  <c r="E29" i="60"/>
  <c r="E28" i="60"/>
  <c r="E27" i="60"/>
  <c r="C27" i="60"/>
  <c r="E26" i="60"/>
  <c r="C26" i="60"/>
  <c r="E25" i="60"/>
  <c r="C25" i="60"/>
  <c r="E24" i="60"/>
  <c r="C24" i="60"/>
  <c r="E23" i="60"/>
  <c r="C23" i="60"/>
  <c r="E22" i="60"/>
  <c r="C22" i="60"/>
  <c r="E21" i="60"/>
  <c r="C21" i="60"/>
  <c r="E20" i="60"/>
  <c r="C20" i="60"/>
  <c r="E19" i="60"/>
  <c r="C19" i="60"/>
  <c r="E18" i="60"/>
  <c r="C18" i="60"/>
  <c r="E17" i="60"/>
  <c r="C17" i="60"/>
  <c r="E16" i="60"/>
  <c r="C16" i="60"/>
  <c r="E15" i="60"/>
  <c r="C15" i="60"/>
  <c r="E14" i="60"/>
  <c r="C14" i="60"/>
  <c r="E13" i="60"/>
  <c r="C13" i="60"/>
  <c r="A1" i="60"/>
  <c r="E2" i="58"/>
  <c r="E42" i="56"/>
  <c r="E41" i="56"/>
  <c r="E40" i="56"/>
  <c r="E39" i="56"/>
  <c r="E38" i="56"/>
  <c r="E37" i="56"/>
  <c r="E36" i="56"/>
  <c r="E35" i="56"/>
  <c r="E34" i="56"/>
  <c r="E33" i="56"/>
  <c r="E32" i="56"/>
  <c r="E31" i="56"/>
  <c r="E30" i="56"/>
  <c r="E29" i="56"/>
  <c r="E28" i="56"/>
  <c r="E27" i="56"/>
  <c r="C27" i="56"/>
  <c r="E26" i="56"/>
  <c r="C26" i="56"/>
  <c r="E25" i="56"/>
  <c r="C25" i="56"/>
  <c r="E24" i="56"/>
  <c r="C24" i="56"/>
  <c r="E23" i="56"/>
  <c r="C23" i="56"/>
  <c r="E22" i="56"/>
  <c r="C22" i="56"/>
  <c r="E21" i="56"/>
  <c r="C21" i="56"/>
  <c r="E20" i="56"/>
  <c r="C20" i="56"/>
  <c r="E19" i="56"/>
  <c r="C19" i="56"/>
  <c r="E18" i="56"/>
  <c r="C18" i="56"/>
  <c r="E17" i="56"/>
  <c r="C17" i="56"/>
  <c r="E16" i="56"/>
  <c r="C16" i="56"/>
  <c r="E15" i="56"/>
  <c r="C15" i="56"/>
  <c r="E14" i="56"/>
  <c r="C14" i="56"/>
  <c r="E13" i="56"/>
  <c r="C13" i="56"/>
  <c r="A1" i="56"/>
  <c r="E2" i="54"/>
  <c r="E2" i="51"/>
  <c r="E42" i="53"/>
  <c r="E41" i="53"/>
  <c r="E40" i="53"/>
  <c r="E39" i="53"/>
  <c r="E38" i="53"/>
  <c r="E37" i="53"/>
  <c r="E36" i="53"/>
  <c r="E35" i="53"/>
  <c r="E34" i="53"/>
  <c r="E33" i="53"/>
  <c r="E32" i="53"/>
  <c r="E31" i="53"/>
  <c r="E30" i="53"/>
  <c r="E29" i="53"/>
  <c r="E28" i="53"/>
  <c r="E27" i="53"/>
  <c r="C27" i="53"/>
  <c r="E26" i="53"/>
  <c r="C26" i="53"/>
  <c r="E25" i="53"/>
  <c r="C25" i="53"/>
  <c r="E24" i="53"/>
  <c r="C24" i="53"/>
  <c r="E23" i="53"/>
  <c r="C23" i="53"/>
  <c r="E22" i="53"/>
  <c r="C22" i="53"/>
  <c r="E21" i="53"/>
  <c r="C21" i="53"/>
  <c r="E20" i="53"/>
  <c r="C20" i="53"/>
  <c r="E19" i="53"/>
  <c r="C19" i="53"/>
  <c r="E18" i="53"/>
  <c r="C18" i="53"/>
  <c r="E17" i="53"/>
  <c r="C17" i="53"/>
  <c r="E16" i="53"/>
  <c r="C16" i="53"/>
  <c r="E15" i="53"/>
  <c r="C15" i="53"/>
  <c r="E14" i="53"/>
  <c r="C14" i="53"/>
  <c r="E13" i="53"/>
  <c r="C13" i="53"/>
  <c r="A1" i="53"/>
  <c r="E29" i="38"/>
  <c r="E30" i="38"/>
  <c r="E31" i="38"/>
  <c r="E32" i="38"/>
  <c r="E33" i="38"/>
  <c r="E34" i="38"/>
  <c r="E35" i="38"/>
  <c r="E36" i="38"/>
  <c r="E37" i="38"/>
  <c r="E38" i="38"/>
  <c r="E39" i="38"/>
  <c r="E40" i="38"/>
  <c r="E41" i="38"/>
  <c r="E42" i="38"/>
  <c r="E28" i="38"/>
  <c r="E24" i="38"/>
  <c r="E25" i="38"/>
  <c r="E26" i="38"/>
  <c r="E27" i="38"/>
  <c r="E14" i="38"/>
  <c r="E15" i="38"/>
  <c r="E16" i="38"/>
  <c r="E17" i="38"/>
  <c r="E18" i="38"/>
  <c r="E19" i="38"/>
  <c r="E20" i="38"/>
  <c r="E21" i="38"/>
  <c r="E22" i="38"/>
  <c r="E23" i="38"/>
  <c r="E13" i="38"/>
  <c r="C26" i="38"/>
  <c r="C27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13" i="38"/>
  <c r="A1" i="38" l="1"/>
  <c r="T7" i="38" l="1" a="1"/>
  <c r="T4" i="38" a="1"/>
  <c r="T6" i="38" l="1" a="1"/>
  <c r="T5" i="38" a="1"/>
  <c r="T8" i="38" a="1"/>
  <c r="T3" i="38" a="1"/>
  <c r="B14" i="58" l="1"/>
  <c r="B10" i="58"/>
  <c r="L14" i="58"/>
  <c r="L10" i="58"/>
  <c r="D21" i="58"/>
  <c r="J18" i="58"/>
  <c r="J8" i="58"/>
  <c r="D18" i="58"/>
  <c r="J21" i="58"/>
  <c r="A8" i="60"/>
  <c r="S7" i="60" s="1"/>
  <c r="D8" i="58"/>
  <c r="A5" i="60"/>
  <c r="S4" i="60" s="1"/>
  <c r="B17" i="58"/>
  <c r="B8" i="58"/>
  <c r="L17" i="58"/>
  <c r="L8" i="58"/>
  <c r="D15" i="58"/>
  <c r="J12" i="58"/>
  <c r="J19" i="58"/>
  <c r="J15" i="58"/>
  <c r="D19" i="58"/>
  <c r="D12" i="58"/>
  <c r="B18" i="58"/>
  <c r="B15" i="58"/>
  <c r="A6" i="60"/>
  <c r="S5" i="60" s="1"/>
  <c r="L18" i="58"/>
  <c r="L15" i="58"/>
  <c r="D11" i="58"/>
  <c r="D7" i="58"/>
  <c r="J20" i="58"/>
  <c r="J11" i="58"/>
  <c r="J7" i="58"/>
  <c r="D20" i="58"/>
  <c r="B18" i="51"/>
  <c r="A24" i="53" s="1"/>
  <c r="D7" i="51"/>
  <c r="B13" i="53" s="1"/>
  <c r="A6" i="53"/>
  <c r="S5" i="53" s="1"/>
  <c r="B15" i="51"/>
  <c r="A21" i="53" s="1"/>
  <c r="J11" i="51"/>
  <c r="A32" i="53" s="1"/>
  <c r="J20" i="51"/>
  <c r="A41" i="53" s="1"/>
  <c r="L18" i="51"/>
  <c r="B39" i="53" s="1"/>
  <c r="L15" i="51"/>
  <c r="B36" i="53" s="1"/>
  <c r="D11" i="51"/>
  <c r="B17" i="53" s="1"/>
  <c r="D20" i="51"/>
  <c r="B26" i="53" s="1"/>
  <c r="J7" i="51"/>
  <c r="A28" i="53" s="1"/>
  <c r="A8" i="56"/>
  <c r="S7" i="56" s="1"/>
  <c r="D21" i="54"/>
  <c r="B27" i="56" s="1"/>
  <c r="D18" i="54"/>
  <c r="B24" i="56" s="1"/>
  <c r="D8" i="54"/>
  <c r="B14" i="56" s="1"/>
  <c r="B14" i="54"/>
  <c r="A20" i="56" s="1"/>
  <c r="B10" i="54"/>
  <c r="A16" i="56" s="1"/>
  <c r="L14" i="54"/>
  <c r="B35" i="56" s="1"/>
  <c r="J21" i="54"/>
  <c r="A42" i="56" s="1"/>
  <c r="J18" i="54"/>
  <c r="A39" i="56" s="1"/>
  <c r="J8" i="54"/>
  <c r="A29" i="56" s="1"/>
  <c r="L10" i="54"/>
  <c r="B31" i="56" s="1"/>
  <c r="D20" i="54"/>
  <c r="B26" i="56" s="1"/>
  <c r="D11" i="54"/>
  <c r="B17" i="56" s="1"/>
  <c r="D7" i="54"/>
  <c r="B13" i="56" s="1"/>
  <c r="B18" i="54"/>
  <c r="A24" i="56" s="1"/>
  <c r="B15" i="54"/>
  <c r="A21" i="56" s="1"/>
  <c r="A6" i="56"/>
  <c r="S5" i="56" s="1"/>
  <c r="L18" i="54"/>
  <c r="B39" i="56" s="1"/>
  <c r="L15" i="54"/>
  <c r="B36" i="56" s="1"/>
  <c r="J20" i="54"/>
  <c r="A41" i="56" s="1"/>
  <c r="J11" i="54"/>
  <c r="A32" i="56" s="1"/>
  <c r="J7" i="54"/>
  <c r="A28" i="56" s="1"/>
  <c r="D18" i="51"/>
  <c r="B24" i="53" s="1"/>
  <c r="J21" i="51"/>
  <c r="A42" i="53" s="1"/>
  <c r="L10" i="51"/>
  <c r="B31" i="53" s="1"/>
  <c r="J8" i="51"/>
  <c r="A29" i="53" s="1"/>
  <c r="B14" i="51"/>
  <c r="A20" i="53" s="1"/>
  <c r="D8" i="51"/>
  <c r="B14" i="53" s="1"/>
  <c r="L14" i="51"/>
  <c r="B35" i="53" s="1"/>
  <c r="B10" i="51"/>
  <c r="A16" i="53" s="1"/>
  <c r="A8" i="53"/>
  <c r="S7" i="53" s="1"/>
  <c r="D21" i="51"/>
  <c r="B27" i="53" s="1"/>
  <c r="J18" i="51"/>
  <c r="A39" i="53" s="1"/>
  <c r="B20" i="51"/>
  <c r="A26" i="53" s="1"/>
  <c r="D14" i="51"/>
  <c r="B20" i="53" s="1"/>
  <c r="L12" i="51"/>
  <c r="B33" i="53" s="1"/>
  <c r="L20" i="51"/>
  <c r="B41" i="53" s="1"/>
  <c r="B16" i="51"/>
  <c r="A22" i="53" s="1"/>
  <c r="B9" i="51"/>
  <c r="A15" i="53" s="1"/>
  <c r="L16" i="51"/>
  <c r="B37" i="53" s="1"/>
  <c r="J14" i="51"/>
  <c r="A35" i="53" s="1"/>
  <c r="B12" i="51"/>
  <c r="A18" i="53" s="1"/>
  <c r="L9" i="51"/>
  <c r="B30" i="53" s="1"/>
  <c r="A7" i="53"/>
  <c r="S6" i="53" s="1"/>
  <c r="J19" i="51"/>
  <c r="A40" i="53" s="1"/>
  <c r="D15" i="51"/>
  <c r="B21" i="53" s="1"/>
  <c r="D19" i="51"/>
  <c r="B25" i="53" s="1"/>
  <c r="L17" i="51"/>
  <c r="B38" i="53" s="1"/>
  <c r="J12" i="51"/>
  <c r="A33" i="53" s="1"/>
  <c r="A5" i="53"/>
  <c r="S4" i="53" s="1"/>
  <c r="D12" i="51"/>
  <c r="B18" i="53" s="1"/>
  <c r="B8" i="51"/>
  <c r="A14" i="53" s="1"/>
  <c r="J15" i="51"/>
  <c r="A36" i="53" s="1"/>
  <c r="L8" i="51"/>
  <c r="B29" i="53" s="1"/>
  <c r="B17" i="51"/>
  <c r="A23" i="53" s="1"/>
  <c r="D19" i="54"/>
  <c r="B25" i="56" s="1"/>
  <c r="D15" i="54"/>
  <c r="B21" i="56" s="1"/>
  <c r="D12" i="54"/>
  <c r="B18" i="56" s="1"/>
  <c r="A5" i="56"/>
  <c r="S4" i="56" s="1"/>
  <c r="B17" i="54"/>
  <c r="A23" i="56" s="1"/>
  <c r="L17" i="54"/>
  <c r="B38" i="56" s="1"/>
  <c r="J19" i="54"/>
  <c r="A40" i="56" s="1"/>
  <c r="J15" i="54"/>
  <c r="A36" i="56" s="1"/>
  <c r="J12" i="54"/>
  <c r="A33" i="56" s="1"/>
  <c r="L8" i="54"/>
  <c r="B29" i="56" s="1"/>
  <c r="B8" i="54"/>
  <c r="A14" i="56" s="1"/>
  <c r="B20" i="54" l="1"/>
  <c r="A26" i="56" s="1"/>
  <c r="B13" i="60"/>
  <c r="A33" i="60"/>
  <c r="A39" i="60"/>
  <c r="B35" i="60"/>
  <c r="B17" i="60"/>
  <c r="A36" i="60"/>
  <c r="B21" i="60"/>
  <c r="A42" i="60"/>
  <c r="A16" i="60"/>
  <c r="B36" i="60"/>
  <c r="A24" i="60"/>
  <c r="A40" i="60"/>
  <c r="B29" i="60"/>
  <c r="B24" i="60"/>
  <c r="A20" i="60"/>
  <c r="A28" i="60"/>
  <c r="A14" i="60"/>
  <c r="B26" i="60"/>
  <c r="A41" i="60"/>
  <c r="B39" i="60"/>
  <c r="B18" i="60"/>
  <c r="B38" i="60"/>
  <c r="B14" i="60"/>
  <c r="A29" i="60"/>
  <c r="B31" i="60"/>
  <c r="B25" i="60"/>
  <c r="A32" i="60"/>
  <c r="A21" i="60"/>
  <c r="A23" i="60"/>
  <c r="B27" i="60"/>
  <c r="B9" i="54"/>
  <c r="A15" i="56" s="1"/>
  <c r="D14" i="54"/>
  <c r="B20" i="56" s="1"/>
  <c r="A7" i="56"/>
  <c r="S6" i="56" s="1"/>
  <c r="L12" i="54"/>
  <c r="B33" i="56" s="1"/>
  <c r="L16" i="54"/>
  <c r="B37" i="56" s="1"/>
  <c r="B16" i="54"/>
  <c r="A22" i="56" s="1"/>
  <c r="L9" i="54"/>
  <c r="B30" i="56" s="1"/>
  <c r="B12" i="54"/>
  <c r="A18" i="56" s="1"/>
  <c r="J14" i="54"/>
  <c r="A35" i="56" s="1"/>
  <c r="L20" i="54"/>
  <c r="B41" i="56" s="1"/>
  <c r="B20" i="58"/>
  <c r="B16" i="58"/>
  <c r="B12" i="58"/>
  <c r="B9" i="58"/>
  <c r="L20" i="58"/>
  <c r="L16" i="58"/>
  <c r="L12" i="58"/>
  <c r="L9" i="58"/>
  <c r="A7" i="60"/>
  <c r="S6" i="60" s="1"/>
  <c r="J14" i="58"/>
  <c r="D14" i="58"/>
  <c r="A15" i="60" l="1"/>
  <c r="A35" i="60"/>
  <c r="B33" i="60"/>
  <c r="A18" i="60"/>
  <c r="B37" i="60"/>
  <c r="A22" i="60"/>
  <c r="B30" i="60"/>
  <c r="B41" i="60"/>
  <c r="A26" i="60"/>
  <c r="B20" i="60"/>
  <c r="A7" i="38" l="1"/>
  <c r="S6" i="38" s="1"/>
  <c r="A6" i="38"/>
  <c r="S5" i="38" s="1"/>
  <c r="A8" i="38"/>
  <c r="S7" i="38" s="1"/>
  <c r="J21" i="14" l="1"/>
  <c r="D21" i="14"/>
  <c r="L20" i="14"/>
  <c r="J20" i="14"/>
  <c r="D20" i="14"/>
  <c r="B20" i="14"/>
  <c r="L18" i="14"/>
  <c r="J18" i="14"/>
  <c r="D18" i="14"/>
  <c r="B18" i="14"/>
  <c r="L16" i="14"/>
  <c r="B16" i="14"/>
  <c r="L15" i="14"/>
  <c r="B15" i="14"/>
  <c r="L14" i="14"/>
  <c r="J14" i="14"/>
  <c r="D14" i="14"/>
  <c r="B14" i="14"/>
  <c r="L12" i="14"/>
  <c r="B12" i="14"/>
  <c r="J11" i="14"/>
  <c r="D11" i="14"/>
  <c r="L10" i="14"/>
  <c r="B10" i="14"/>
  <c r="L9" i="14"/>
  <c r="B9" i="14"/>
  <c r="J8" i="14"/>
  <c r="D8" i="14"/>
  <c r="J7" i="14"/>
  <c r="D7" i="14"/>
  <c r="E2" i="14"/>
  <c r="B13" i="38" l="1"/>
  <c r="B14" i="38"/>
  <c r="B17" i="38"/>
  <c r="B20" i="38"/>
  <c r="B24" i="38"/>
  <c r="B26" i="38"/>
  <c r="B27" i="38"/>
  <c r="A28" i="38"/>
  <c r="A29" i="38"/>
  <c r="A32" i="38"/>
  <c r="A35" i="38"/>
  <c r="A39" i="38"/>
  <c r="A41" i="38"/>
  <c r="A42" i="38"/>
  <c r="B30" i="38"/>
  <c r="B31" i="38"/>
  <c r="B33" i="38"/>
  <c r="B35" i="38"/>
  <c r="B36" i="38"/>
  <c r="B37" i="38"/>
  <c r="B39" i="38"/>
  <c r="B41" i="38"/>
  <c r="A15" i="38"/>
  <c r="A16" i="38"/>
  <c r="A18" i="38"/>
  <c r="A20" i="38"/>
  <c r="A21" i="38"/>
  <c r="A22" i="38"/>
  <c r="A24" i="38"/>
  <c r="A26" i="38"/>
  <c r="T3" i="60" l="1" a="1"/>
  <c r="T5" i="60" a="1"/>
  <c r="T4" i="60" a="1"/>
  <c r="T8" i="60" a="1"/>
  <c r="T6" i="60" a="1"/>
  <c r="T7" i="60" a="1"/>
  <c r="T6" i="56" a="1"/>
  <c r="T5" i="56" a="1"/>
  <c r="T4" i="56" a="1"/>
  <c r="T8" i="56" a="1"/>
  <c r="T7" i="56" a="1"/>
  <c r="T3" i="56" a="1"/>
  <c r="T4" i="53" a="1"/>
  <c r="T7" i="53" a="1"/>
  <c r="T6" i="53" a="1"/>
  <c r="T8" i="53" l="1" a="1"/>
  <c r="T3" i="53" a="1"/>
  <c r="T5" i="53" a="1"/>
  <c r="L11" i="51" l="1"/>
  <c r="B32" i="53" s="1"/>
  <c r="J13" i="51"/>
  <c r="A34" i="53" s="1"/>
  <c r="D9" i="51"/>
  <c r="B15" i="53" s="1"/>
  <c r="J17" i="51"/>
  <c r="A38" i="53" s="1"/>
  <c r="J9" i="51"/>
  <c r="A30" i="53" s="1"/>
  <c r="A4" i="53"/>
  <c r="S3" i="53" s="1"/>
  <c r="D17" i="51"/>
  <c r="B23" i="53" s="1"/>
  <c r="L21" i="51"/>
  <c r="B42" i="53" s="1"/>
  <c r="D13" i="51"/>
  <c r="B19" i="53" s="1"/>
  <c r="B21" i="51"/>
  <c r="A27" i="53" s="1"/>
  <c r="B11" i="51"/>
  <c r="A17" i="53" s="1"/>
  <c r="D13" i="54"/>
  <c r="B19" i="56" s="1"/>
  <c r="L21" i="54"/>
  <c r="B42" i="56" s="1"/>
  <c r="J9" i="54"/>
  <c r="A30" i="56" s="1"/>
  <c r="A4" i="56"/>
  <c r="S3" i="56" s="1"/>
  <c r="J17" i="54"/>
  <c r="A38" i="56" s="1"/>
  <c r="D17" i="54"/>
  <c r="B23" i="56" s="1"/>
  <c r="J13" i="54"/>
  <c r="A34" i="56" s="1"/>
  <c r="D9" i="54"/>
  <c r="B15" i="56" s="1"/>
  <c r="L11" i="54"/>
  <c r="B32" i="56" s="1"/>
  <c r="B21" i="54"/>
  <c r="A27" i="56" s="1"/>
  <c r="B11" i="54"/>
  <c r="A17" i="56" s="1"/>
  <c r="J9" i="14"/>
  <c r="B11" i="14"/>
  <c r="J13" i="14"/>
  <c r="B21" i="14"/>
  <c r="D17" i="14"/>
  <c r="A4" i="38"/>
  <c r="S3" i="38" s="1"/>
  <c r="D13" i="14"/>
  <c r="J17" i="14"/>
  <c r="L11" i="14"/>
  <c r="L21" i="14"/>
  <c r="D9" i="14"/>
  <c r="D17" i="58"/>
  <c r="B23" i="60" s="1"/>
  <c r="J13" i="58"/>
  <c r="A34" i="60" s="1"/>
  <c r="L11" i="58"/>
  <c r="B32" i="60" s="1"/>
  <c r="B11" i="58"/>
  <c r="A17" i="60" s="1"/>
  <c r="L21" i="58"/>
  <c r="B42" i="60" s="1"/>
  <c r="D13" i="58"/>
  <c r="B19" i="60" s="1"/>
  <c r="J9" i="58"/>
  <c r="A30" i="60" s="1"/>
  <c r="B21" i="58"/>
  <c r="A27" i="60" s="1"/>
  <c r="D9" i="58"/>
  <c r="B15" i="60" s="1"/>
  <c r="A4" i="60"/>
  <c r="S3" i="60" s="1"/>
  <c r="J17" i="58"/>
  <c r="A38" i="60" s="1"/>
  <c r="A9" i="60"/>
  <c r="S8" i="60" s="1"/>
  <c r="D16" i="58"/>
  <c r="B22" i="60" s="1"/>
  <c r="L19" i="58"/>
  <c r="B40" i="60" s="1"/>
  <c r="J10" i="58"/>
  <c r="A31" i="60" s="1"/>
  <c r="L7" i="58"/>
  <c r="B28" i="60" s="1"/>
  <c r="D16" i="54"/>
  <c r="B22" i="56" s="1"/>
  <c r="D16" i="51"/>
  <c r="B22" i="53" s="1"/>
  <c r="J16" i="14"/>
  <c r="A37" i="38" l="1"/>
  <c r="B32" i="38"/>
  <c r="A17" i="38"/>
  <c r="B15" i="38"/>
  <c r="A38" i="38"/>
  <c r="B23" i="38"/>
  <c r="A30" i="38"/>
  <c r="B19" i="38"/>
  <c r="A27" i="38"/>
  <c r="B42" i="38"/>
  <c r="A34" i="38"/>
  <c r="J10" i="51"/>
  <c r="A31" i="53" s="1"/>
  <c r="L7" i="54"/>
  <c r="B28" i="56" s="1"/>
  <c r="B7" i="54"/>
  <c r="A13" i="56" s="1"/>
  <c r="L7" i="51"/>
  <c r="B28" i="53" s="1"/>
  <c r="B7" i="14"/>
  <c r="L19" i="54"/>
  <c r="B40" i="56" s="1"/>
  <c r="L19" i="51"/>
  <c r="B40" i="53" s="1"/>
  <c r="B19" i="51"/>
  <c r="A25" i="53" s="1"/>
  <c r="D10" i="54"/>
  <c r="B16" i="56" s="1"/>
  <c r="B13" i="58"/>
  <c r="A19" i="60" s="1"/>
  <c r="J16" i="58"/>
  <c r="A37" i="60" s="1"/>
  <c r="L13" i="58"/>
  <c r="B34" i="60" s="1"/>
  <c r="B19" i="14"/>
  <c r="L7" i="14"/>
  <c r="B13" i="54"/>
  <c r="A19" i="56" s="1"/>
  <c r="A9" i="56"/>
  <c r="S8" i="56" s="1"/>
  <c r="B19" i="58"/>
  <c r="A25" i="60" s="1"/>
  <c r="D10" i="58"/>
  <c r="B16" i="60" s="1"/>
  <c r="B7" i="58"/>
  <c r="A13" i="60" s="1"/>
  <c r="J10" i="14"/>
  <c r="L13" i="14"/>
  <c r="D16" i="14"/>
  <c r="B13" i="14"/>
  <c r="D10" i="14"/>
  <c r="A9" i="38"/>
  <c r="S8" i="38" s="1"/>
  <c r="L19" i="14"/>
  <c r="J16" i="54"/>
  <c r="A37" i="56" s="1"/>
  <c r="B19" i="54"/>
  <c r="A25" i="56" s="1"/>
  <c r="L13" i="54"/>
  <c r="B34" i="56" s="1"/>
  <c r="J10" i="54"/>
  <c r="A31" i="56" s="1"/>
  <c r="L13" i="51"/>
  <c r="B34" i="53" s="1"/>
  <c r="J16" i="51"/>
  <c r="A37" i="53" s="1"/>
  <c r="A9" i="53"/>
  <c r="S8" i="53" s="1"/>
  <c r="B7" i="51"/>
  <c r="A13" i="53" s="1"/>
  <c r="D10" i="51"/>
  <c r="B16" i="53" s="1"/>
  <c r="B13" i="51"/>
  <c r="A19" i="53" s="1"/>
  <c r="B40" i="38" l="1"/>
  <c r="A19" i="38"/>
  <c r="B22" i="38"/>
  <c r="B28" i="38"/>
  <c r="A13" i="38"/>
  <c r="B16" i="38"/>
  <c r="B34" i="38"/>
  <c r="A31" i="38"/>
  <c r="A25" i="38"/>
  <c r="W3" i="60" a="1"/>
  <c r="W3" i="60" s="1"/>
  <c r="V7" i="60" a="1"/>
  <c r="V7" i="60" s="1"/>
  <c r="U4" i="60" a="1"/>
  <c r="U4" i="60" s="1"/>
  <c r="U6" i="60" a="1"/>
  <c r="U6" i="60" s="1"/>
  <c r="W4" i="60" a="1"/>
  <c r="W4" i="60" s="1"/>
  <c r="V6" i="60" a="1"/>
  <c r="V6" i="60" s="1"/>
  <c r="V4" i="60" a="1"/>
  <c r="V4" i="60" s="1"/>
  <c r="U3" i="60" a="1"/>
  <c r="U3" i="60" s="1"/>
  <c r="W5" i="60" a="1"/>
  <c r="W5" i="60" s="1"/>
  <c r="W6" i="60" a="1"/>
  <c r="W6" i="60" s="1"/>
  <c r="W7" i="60" a="1"/>
  <c r="W7" i="60" s="1"/>
  <c r="U7" i="60" a="1"/>
  <c r="U7" i="60" s="1"/>
  <c r="V5" i="60" a="1"/>
  <c r="V5" i="60" s="1"/>
  <c r="V3" i="60" a="1"/>
  <c r="V3" i="60" s="1"/>
  <c r="U5" i="60" a="1"/>
  <c r="U5" i="60" s="1"/>
  <c r="U8" i="56" a="1"/>
  <c r="U8" i="56" s="1"/>
  <c r="V8" i="56" a="1"/>
  <c r="V8" i="56" s="1"/>
  <c r="W8" i="56" a="1"/>
  <c r="W8" i="56" s="1"/>
  <c r="V8" i="60" a="1"/>
  <c r="V8" i="60" s="1"/>
  <c r="W8" i="53" a="1"/>
  <c r="W8" i="53" s="1"/>
  <c r="U8" i="53" a="1"/>
  <c r="U8" i="53" s="1"/>
  <c r="V8" i="53" a="1"/>
  <c r="V8" i="53" s="1"/>
  <c r="U8" i="60" a="1"/>
  <c r="U8" i="60" s="1"/>
  <c r="V4" i="53" a="1"/>
  <c r="V4" i="53" s="1"/>
  <c r="V3" i="53" a="1"/>
  <c r="V3" i="53" s="1"/>
  <c r="V6" i="53" a="1"/>
  <c r="V6" i="53" s="1"/>
  <c r="W5" i="53" a="1"/>
  <c r="W5" i="53" s="1"/>
  <c r="U6" i="53" a="1"/>
  <c r="U6" i="53" s="1"/>
  <c r="U5" i="53" a="1"/>
  <c r="U5" i="53" s="1"/>
  <c r="W6" i="53" a="1"/>
  <c r="W6" i="53" s="1"/>
  <c r="W7" i="53" a="1"/>
  <c r="W7" i="53" s="1"/>
  <c r="W3" i="53" a="1"/>
  <c r="W3" i="53" s="1"/>
  <c r="U7" i="53" a="1"/>
  <c r="U7" i="53" s="1"/>
  <c r="U3" i="53" a="1"/>
  <c r="U3" i="53" s="1"/>
  <c r="U4" i="53" a="1"/>
  <c r="U4" i="53" s="1"/>
  <c r="V5" i="53" a="1"/>
  <c r="V5" i="53" s="1"/>
  <c r="V7" i="53" a="1"/>
  <c r="V7" i="53" s="1"/>
  <c r="W4" i="53" a="1"/>
  <c r="W4" i="53" s="1"/>
  <c r="V5" i="56" a="1"/>
  <c r="V5" i="56" s="1"/>
  <c r="U5" i="56" a="1"/>
  <c r="U5" i="56" s="1"/>
  <c r="U6" i="56" a="1"/>
  <c r="U6" i="56" s="1"/>
  <c r="W4" i="56" a="1"/>
  <c r="W4" i="56" s="1"/>
  <c r="U7" i="56" a="1"/>
  <c r="U7" i="56" s="1"/>
  <c r="V7" i="56" a="1"/>
  <c r="V7" i="56" s="1"/>
  <c r="W3" i="56" a="1"/>
  <c r="W3" i="56" s="1"/>
  <c r="V4" i="56" a="1"/>
  <c r="V4" i="56" s="1"/>
  <c r="U4" i="56" a="1"/>
  <c r="U4" i="56" s="1"/>
  <c r="W7" i="56" a="1"/>
  <c r="W7" i="56" s="1"/>
  <c r="U3" i="56" a="1"/>
  <c r="U3" i="56" s="1"/>
  <c r="W5" i="56" a="1"/>
  <c r="W5" i="56" s="1"/>
  <c r="V3" i="56" a="1"/>
  <c r="V3" i="56" s="1"/>
  <c r="W6" i="56" a="1"/>
  <c r="W6" i="56" s="1"/>
  <c r="V6" i="56" a="1"/>
  <c r="V6" i="56" s="1"/>
  <c r="W8" i="60" a="1"/>
  <c r="W8" i="60" s="1"/>
  <c r="T8" i="56"/>
  <c r="T4" i="60"/>
  <c r="Y4" i="56"/>
  <c r="X3" i="60"/>
  <c r="T8" i="60"/>
  <c r="Y4" i="60"/>
  <c r="T7" i="53"/>
  <c r="T6" i="60"/>
  <c r="Y8" i="60"/>
  <c r="Y6" i="60"/>
  <c r="Y5" i="60"/>
  <c r="X4" i="60"/>
  <c r="T3" i="60"/>
  <c r="Y3" i="60"/>
  <c r="X5" i="60"/>
  <c r="T7" i="60"/>
  <c r="T5" i="60"/>
  <c r="X7" i="60"/>
  <c r="X8" i="60"/>
  <c r="Y7" i="60"/>
  <c r="X6" i="60"/>
  <c r="T3" i="56"/>
  <c r="Y5" i="56"/>
  <c r="X5" i="53"/>
  <c r="T5" i="56"/>
  <c r="X6" i="56"/>
  <c r="Y6" i="53"/>
  <c r="X8" i="53"/>
  <c r="Y3" i="56"/>
  <c r="T4" i="56"/>
  <c r="T7" i="56"/>
  <c r="T6" i="56"/>
  <c r="X4" i="56"/>
  <c r="Y6" i="56"/>
  <c r="Y8" i="56"/>
  <c r="Y7" i="53"/>
  <c r="Y7" i="56"/>
  <c r="X8" i="56"/>
  <c r="T5" i="53"/>
  <c r="X3" i="56"/>
  <c r="X7" i="56"/>
  <c r="X5" i="56"/>
  <c r="Y8" i="53"/>
  <c r="T4" i="53"/>
  <c r="Y4" i="53"/>
  <c r="T6" i="53"/>
  <c r="X7" i="53"/>
  <c r="X6" i="53"/>
  <c r="X4" i="53"/>
  <c r="X3" i="53"/>
  <c r="Y5" i="53"/>
  <c r="T8" i="53"/>
  <c r="T3" i="53"/>
  <c r="Y3" i="53"/>
  <c r="W3" i="119" l="1" a="1"/>
  <c r="W3" i="119" s="1"/>
  <c r="V3" i="119" a="1"/>
  <c r="V3" i="119" s="1"/>
  <c r="Y3" i="119"/>
  <c r="U3" i="119" a="1"/>
  <c r="U3" i="119" s="1"/>
  <c r="X3" i="119"/>
  <c r="T3" i="119" a="1"/>
  <c r="T3" i="119" s="1"/>
  <c r="X4" i="119"/>
  <c r="Y4" i="119"/>
  <c r="T4" i="119" a="1"/>
  <c r="T4" i="119" s="1"/>
  <c r="U4" i="119" a="1"/>
  <c r="U4" i="119" s="1"/>
  <c r="V4" i="119" a="1"/>
  <c r="V4" i="119" s="1"/>
  <c r="W4" i="119" a="1"/>
  <c r="W4" i="119" s="1"/>
  <c r="Y5" i="119"/>
  <c r="V5" i="119" a="1"/>
  <c r="V5" i="119" s="1"/>
  <c r="X5" i="119"/>
  <c r="U5" i="119" a="1"/>
  <c r="U5" i="119" s="1"/>
  <c r="W5" i="119" a="1"/>
  <c r="W5" i="119" s="1"/>
  <c r="T5" i="119" a="1"/>
  <c r="T5" i="119" s="1"/>
  <c r="Y6" i="119"/>
  <c r="W6" i="119" a="1"/>
  <c r="W6" i="119" s="1"/>
  <c r="V6" i="119" a="1"/>
  <c r="V6" i="119" s="1"/>
  <c r="X6" i="119"/>
  <c r="U6" i="119" a="1"/>
  <c r="U6" i="119" s="1"/>
  <c r="T6" i="119" a="1"/>
  <c r="T6" i="119" s="1"/>
  <c r="W7" i="119" a="1"/>
  <c r="W7" i="119" s="1"/>
  <c r="V7" i="119" a="1"/>
  <c r="V7" i="119" s="1"/>
  <c r="U7" i="119" a="1"/>
  <c r="U7" i="119" s="1"/>
  <c r="X7" i="119"/>
  <c r="T7" i="119" a="1"/>
  <c r="T7" i="119" s="1"/>
  <c r="Y7" i="119"/>
  <c r="W8" i="119" a="1"/>
  <c r="W8" i="119" s="1"/>
  <c r="X8" i="119"/>
  <c r="V8" i="119" a="1"/>
  <c r="V8" i="119" s="1"/>
  <c r="T8" i="119" a="1"/>
  <c r="T8" i="119" s="1"/>
  <c r="U8" i="119" a="1"/>
  <c r="U8" i="119" s="1"/>
  <c r="Y8" i="119"/>
  <c r="Z8" i="56"/>
  <c r="Z7" i="56"/>
  <c r="AA8" i="53"/>
  <c r="AA7" i="56"/>
  <c r="AA7" i="60"/>
  <c r="Z7" i="53"/>
  <c r="Z5" i="56"/>
  <c r="AA4" i="56"/>
  <c r="AA3" i="60"/>
  <c r="Z4" i="56"/>
  <c r="T10" i="60"/>
  <c r="AA4" i="53"/>
  <c r="Z3" i="56"/>
  <c r="AA3" i="56"/>
  <c r="AA8" i="56"/>
  <c r="AA3" i="53"/>
  <c r="Z3" i="53"/>
  <c r="AA6" i="56"/>
  <c r="AA5" i="56"/>
  <c r="AA7" i="53"/>
  <c r="Z3" i="60"/>
  <c r="T10" i="53"/>
  <c r="AA5" i="53"/>
  <c r="AA6" i="53"/>
  <c r="AA4" i="60"/>
  <c r="AA8" i="60"/>
  <c r="AA6" i="60"/>
  <c r="AA5" i="60"/>
  <c r="Z4" i="60"/>
  <c r="Z6" i="56"/>
  <c r="Z6" i="53"/>
  <c r="Z7" i="60"/>
  <c r="Z5" i="60"/>
  <c r="Z8" i="60"/>
  <c r="T10" i="56"/>
  <c r="Z6" i="60"/>
  <c r="Z8" i="53"/>
  <c r="Z5" i="53"/>
  <c r="Z4" i="53"/>
  <c r="AA5" i="119" l="1"/>
  <c r="T10" i="119"/>
  <c r="AA7" i="119"/>
  <c r="AA8" i="119"/>
  <c r="AA6" i="119"/>
  <c r="AA3" i="119"/>
  <c r="Z8" i="119"/>
  <c r="Z5" i="119"/>
  <c r="Z3" i="119"/>
  <c r="Z7" i="119"/>
  <c r="Z4" i="119"/>
  <c r="Z6" i="119"/>
  <c r="AA4" i="119"/>
  <c r="AB8" i="53"/>
  <c r="AB8" i="56"/>
  <c r="AB7" i="56"/>
  <c r="AB4" i="60"/>
  <c r="AB4" i="56"/>
  <c r="AB7" i="60"/>
  <c r="AB7" i="53"/>
  <c r="AB3" i="60"/>
  <c r="AB5" i="56"/>
  <c r="AB4" i="53"/>
  <c r="AB8" i="60"/>
  <c r="AB6" i="56"/>
  <c r="AB5" i="53"/>
  <c r="AB5" i="60"/>
  <c r="AB6" i="53"/>
  <c r="AB3" i="53"/>
  <c r="AB3" i="56"/>
  <c r="M8" i="75"/>
  <c r="AB6" i="60"/>
  <c r="AB5" i="119" l="1"/>
  <c r="AB7" i="119"/>
  <c r="AB4" i="119"/>
  <c r="AB6" i="119"/>
  <c r="AB8" i="119"/>
  <c r="AB3" i="119"/>
  <c r="H19" i="53" a="1"/>
  <c r="H19" i="53" s="1"/>
  <c r="H16" i="53" a="1"/>
  <c r="H16" i="53" s="1"/>
  <c r="H20" i="53" a="1"/>
  <c r="H20" i="53" s="1"/>
  <c r="H15" i="53" a="1"/>
  <c r="H15" i="53" s="1"/>
  <c r="H18" i="53" a="1"/>
  <c r="H18" i="53" s="1"/>
  <c r="H16" i="56" a="1"/>
  <c r="H16" i="56" s="1"/>
  <c r="C56" i="79" s="1"/>
  <c r="H15" i="56" a="1"/>
  <c r="H15" i="56" s="1"/>
  <c r="H19" i="60" a="1"/>
  <c r="H19" i="60" s="1"/>
  <c r="H17" i="53" a="1"/>
  <c r="H17" i="53" s="1"/>
  <c r="H19" i="56" a="1"/>
  <c r="H19" i="56" s="1"/>
  <c r="H20" i="56" a="1"/>
  <c r="H20" i="56" s="1"/>
  <c r="H17" i="56" a="1"/>
  <c r="H17" i="56" s="1"/>
  <c r="C57" i="79" s="1"/>
  <c r="H18" i="56" a="1"/>
  <c r="H18" i="56" s="1"/>
  <c r="H17" i="60" a="1"/>
  <c r="H17" i="60" s="1"/>
  <c r="H18" i="60" a="1"/>
  <c r="H18" i="60" s="1"/>
  <c r="H20" i="60" a="1"/>
  <c r="H20" i="60" s="1"/>
  <c r="H16" i="60" a="1"/>
  <c r="H16" i="60" s="1"/>
  <c r="N56" i="79" s="1"/>
  <c r="H15" i="60" a="1"/>
  <c r="H15" i="60" s="1"/>
  <c r="N55" i="79" s="1"/>
  <c r="L19" i="56" l="1"/>
  <c r="C59" i="79"/>
  <c r="N46" i="79"/>
  <c r="C11" i="73" s="1"/>
  <c r="B8" i="81"/>
  <c r="K18" i="56"/>
  <c r="C58" i="79"/>
  <c r="K18" i="53"/>
  <c r="N48" i="79"/>
  <c r="C13" i="73" s="1"/>
  <c r="B26" i="81"/>
  <c r="N45" i="79"/>
  <c r="C10" i="73" s="1"/>
  <c r="B24" i="81"/>
  <c r="K17" i="53"/>
  <c r="Q47" i="79" s="1"/>
  <c r="F12" i="73" s="1"/>
  <c r="N47" i="79"/>
  <c r="C12" i="73" s="1"/>
  <c r="B10" i="81"/>
  <c r="Q19" i="53"/>
  <c r="AT34" i="81" s="1"/>
  <c r="N49" i="79"/>
  <c r="C14" i="73" s="1"/>
  <c r="B34" i="81"/>
  <c r="I20" i="56"/>
  <c r="D60" i="79" s="1"/>
  <c r="C60" i="79"/>
  <c r="K15" i="56"/>
  <c r="O3" i="75" s="1"/>
  <c r="C55" i="79"/>
  <c r="N50" i="79"/>
  <c r="C15" i="73" s="1"/>
  <c r="B18" i="81"/>
  <c r="K17" i="60"/>
  <c r="Q57" i="79" s="1"/>
  <c r="N57" i="79"/>
  <c r="N20" i="60"/>
  <c r="N60" i="79"/>
  <c r="N19" i="60"/>
  <c r="T59" i="79" s="1"/>
  <c r="N59" i="79"/>
  <c r="N18" i="60"/>
  <c r="T58" i="79" s="1"/>
  <c r="N58" i="79"/>
  <c r="H15" i="119" a="1"/>
  <c r="H15" i="119" s="1"/>
  <c r="H18" i="119" a="1"/>
  <c r="H18" i="119" s="1"/>
  <c r="H19" i="119" a="1"/>
  <c r="H19" i="119" s="1"/>
  <c r="H16" i="119" a="1"/>
  <c r="H16" i="119" s="1"/>
  <c r="H20" i="119" a="1"/>
  <c r="H20" i="119" s="1"/>
  <c r="H17" i="119" a="1"/>
  <c r="H17" i="119" s="1"/>
  <c r="I19" i="53"/>
  <c r="O49" i="79" s="1"/>
  <c r="D14" i="73" s="1"/>
  <c r="L19" i="53"/>
  <c r="M19" i="53"/>
  <c r="K19" i="53"/>
  <c r="Q49" i="79" s="1"/>
  <c r="F14" i="73" s="1"/>
  <c r="N19" i="53"/>
  <c r="T49" i="79" s="1"/>
  <c r="I14" i="73" s="1"/>
  <c r="O16" i="53"/>
  <c r="P16" i="53"/>
  <c r="L15" i="53"/>
  <c r="P19" i="53"/>
  <c r="V49" i="79" s="1"/>
  <c r="K14" i="73" s="1"/>
  <c r="I15" i="53"/>
  <c r="O45" i="79" s="1"/>
  <c r="D10" i="73" s="1"/>
  <c r="J19" i="53"/>
  <c r="O19" i="53"/>
  <c r="K16" i="53"/>
  <c r="M20" i="53"/>
  <c r="S50" i="79" s="1"/>
  <c r="H15" i="73" s="1"/>
  <c r="L20" i="53"/>
  <c r="R50" i="79" s="1"/>
  <c r="G15" i="73" s="1"/>
  <c r="L16" i="53"/>
  <c r="R46" i="79" s="1"/>
  <c r="G11" i="73" s="1"/>
  <c r="Q16" i="53"/>
  <c r="I16" i="53"/>
  <c r="I20" i="53"/>
  <c r="Q15" i="56"/>
  <c r="N16" i="53"/>
  <c r="J16" i="53"/>
  <c r="M16" i="53"/>
  <c r="N15" i="53"/>
  <c r="O15" i="53"/>
  <c r="I15" i="56"/>
  <c r="Q48" i="79"/>
  <c r="F13" i="73" s="1"/>
  <c r="J15" i="56"/>
  <c r="N3" i="75" s="1"/>
  <c r="L15" i="56"/>
  <c r="O15" i="56"/>
  <c r="M19" i="56"/>
  <c r="Q18" i="53"/>
  <c r="AT26" i="81" s="1"/>
  <c r="N18" i="53"/>
  <c r="M17" i="56"/>
  <c r="Q20" i="53"/>
  <c r="K20" i="53"/>
  <c r="Q50" i="79" s="1"/>
  <c r="F15" i="73" s="1"/>
  <c r="P20" i="53"/>
  <c r="J20" i="53"/>
  <c r="M15" i="53"/>
  <c r="O17" i="56"/>
  <c r="J57" i="79" s="1"/>
  <c r="P17" i="56"/>
  <c r="N20" i="53"/>
  <c r="O20" i="53"/>
  <c r="K15" i="53"/>
  <c r="P15" i="53"/>
  <c r="J15" i="53"/>
  <c r="Q15" i="53"/>
  <c r="O17" i="53"/>
  <c r="M17" i="53"/>
  <c r="P15" i="56"/>
  <c r="N15" i="56"/>
  <c r="J19" i="60"/>
  <c r="P59" i="79" s="1"/>
  <c r="AK37" i="82"/>
  <c r="M15" i="56"/>
  <c r="L17" i="56"/>
  <c r="G57" i="79" s="1"/>
  <c r="L3" i="75"/>
  <c r="Q16" i="56"/>
  <c r="P19" i="60"/>
  <c r="V59" i="79" s="1"/>
  <c r="N17" i="53"/>
  <c r="T47" i="79" s="1"/>
  <c r="I12" i="73" s="1"/>
  <c r="Q18" i="56"/>
  <c r="P18" i="53"/>
  <c r="M18" i="53"/>
  <c r="I18" i="53"/>
  <c r="O48" i="79" s="1"/>
  <c r="D13" i="73" s="1"/>
  <c r="L18" i="53"/>
  <c r="J18" i="53"/>
  <c r="I16" i="56"/>
  <c r="M16" i="56"/>
  <c r="L4" i="75"/>
  <c r="N16" i="56"/>
  <c r="O18" i="53"/>
  <c r="J16" i="56"/>
  <c r="P16" i="56"/>
  <c r="L16" i="56"/>
  <c r="G56" i="79" s="1"/>
  <c r="K20" i="60"/>
  <c r="Q60" i="79" s="1"/>
  <c r="K16" i="56"/>
  <c r="O16" i="56"/>
  <c r="N20" i="56"/>
  <c r="L17" i="53"/>
  <c r="O19" i="60"/>
  <c r="J17" i="53"/>
  <c r="I19" i="60"/>
  <c r="J20" i="56"/>
  <c r="P20" i="56"/>
  <c r="M18" i="56"/>
  <c r="H58" i="79" s="1"/>
  <c r="J18" i="56"/>
  <c r="K19" i="60"/>
  <c r="Q19" i="60"/>
  <c r="P17" i="53"/>
  <c r="V47" i="79" s="1"/>
  <c r="K12" i="73" s="1"/>
  <c r="Q17" i="53"/>
  <c r="I18" i="56"/>
  <c r="Q20" i="56"/>
  <c r="L19" i="60"/>
  <c r="M19" i="60"/>
  <c r="S59" i="79" s="1"/>
  <c r="I17" i="53"/>
  <c r="J19" i="56"/>
  <c r="N19" i="56"/>
  <c r="Q17" i="56"/>
  <c r="O19" i="56"/>
  <c r="I19" i="56"/>
  <c r="Q19" i="56"/>
  <c r="K17" i="56"/>
  <c r="P19" i="56"/>
  <c r="I17" i="56"/>
  <c r="K19" i="56"/>
  <c r="J17" i="56"/>
  <c r="N17" i="56"/>
  <c r="F58" i="79"/>
  <c r="P18" i="56"/>
  <c r="N18" i="56"/>
  <c r="I58" i="79" s="1"/>
  <c r="L18" i="56"/>
  <c r="O20" i="56"/>
  <c r="M20" i="56"/>
  <c r="H60" i="79" s="1"/>
  <c r="K20" i="56"/>
  <c r="O18" i="56"/>
  <c r="L20" i="56"/>
  <c r="I20" i="60"/>
  <c r="J17" i="60"/>
  <c r="P17" i="60"/>
  <c r="P20" i="60"/>
  <c r="V60" i="79" s="1"/>
  <c r="L17" i="60"/>
  <c r="Q17" i="60"/>
  <c r="O17" i="60"/>
  <c r="M17" i="60"/>
  <c r="I15" i="60"/>
  <c r="J15" i="60"/>
  <c r="K15" i="60"/>
  <c r="Q15" i="60"/>
  <c r="M15" i="60"/>
  <c r="P15" i="60"/>
  <c r="L15" i="60"/>
  <c r="L5" i="75"/>
  <c r="O15" i="60"/>
  <c r="N15" i="60"/>
  <c r="K18" i="60"/>
  <c r="M18" i="60"/>
  <c r="P18" i="60"/>
  <c r="Q18" i="60"/>
  <c r="O18" i="60"/>
  <c r="L18" i="60"/>
  <c r="I18" i="60"/>
  <c r="J18" i="60"/>
  <c r="N17" i="60"/>
  <c r="I17" i="60"/>
  <c r="L6" i="75"/>
  <c r="Q16" i="60"/>
  <c r="M16" i="60"/>
  <c r="L16" i="60"/>
  <c r="O16" i="60"/>
  <c r="K16" i="60"/>
  <c r="J16" i="60"/>
  <c r="I16" i="60"/>
  <c r="P16" i="60"/>
  <c r="N16" i="60"/>
  <c r="L20" i="60"/>
  <c r="Q20" i="60"/>
  <c r="J20" i="60"/>
  <c r="M20" i="60"/>
  <c r="O20" i="60"/>
  <c r="T60" i="79"/>
  <c r="G59" i="79"/>
  <c r="F55" i="79" l="1"/>
  <c r="K20" i="119"/>
  <c r="Q16" i="79" s="1"/>
  <c r="N16" i="79"/>
  <c r="K15" i="119"/>
  <c r="Q11" i="79" s="1"/>
  <c r="N11" i="79"/>
  <c r="E9" i="15" s="1"/>
  <c r="O16" i="119"/>
  <c r="U12" i="79" s="1"/>
  <c r="N12" i="79"/>
  <c r="N19" i="119"/>
  <c r="T15" i="79" s="1"/>
  <c r="N15" i="79"/>
  <c r="M17" i="119"/>
  <c r="S13" i="79" s="1"/>
  <c r="N13" i="79"/>
  <c r="M18" i="119"/>
  <c r="S14" i="79" s="1"/>
  <c r="N14" i="79"/>
  <c r="I15" i="119"/>
  <c r="O11" i="79" s="1"/>
  <c r="J15" i="119"/>
  <c r="P11" i="79" s="1"/>
  <c r="N15" i="119"/>
  <c r="T11" i="79" s="1"/>
  <c r="M15" i="119"/>
  <c r="S11" i="79" s="1"/>
  <c r="P15" i="119"/>
  <c r="V11" i="79" s="1"/>
  <c r="O15" i="119"/>
  <c r="U11" i="79" s="1"/>
  <c r="L19" i="119"/>
  <c r="R15" i="79" s="1"/>
  <c r="L15" i="119"/>
  <c r="R11" i="79" s="1"/>
  <c r="I19" i="119"/>
  <c r="O15" i="79" s="1"/>
  <c r="L18" i="119"/>
  <c r="R14" i="79" s="1"/>
  <c r="N18" i="119"/>
  <c r="T14" i="79" s="1"/>
  <c r="Q19" i="119"/>
  <c r="K18" i="119"/>
  <c r="Q14" i="79" s="1"/>
  <c r="L17" i="119"/>
  <c r="R13" i="79" s="1"/>
  <c r="K19" i="119"/>
  <c r="Q15" i="79" s="1"/>
  <c r="I18" i="119"/>
  <c r="O14" i="79" s="1"/>
  <c r="O19" i="119"/>
  <c r="U15" i="79" s="1"/>
  <c r="P18" i="119"/>
  <c r="V14" i="79" s="1"/>
  <c r="J18" i="119"/>
  <c r="P14" i="79" s="1"/>
  <c r="M16" i="119"/>
  <c r="S12" i="79" s="1"/>
  <c r="P16" i="119"/>
  <c r="V12" i="79" s="1"/>
  <c r="N16" i="119"/>
  <c r="T12" i="79" s="1"/>
  <c r="M19" i="119"/>
  <c r="S15" i="79" s="1"/>
  <c r="J19" i="119"/>
  <c r="P15" i="79" s="1"/>
  <c r="I16" i="119"/>
  <c r="O12" i="79" s="1"/>
  <c r="K16" i="119"/>
  <c r="Q12" i="79" s="1"/>
  <c r="P19" i="119"/>
  <c r="V15" i="79" s="1"/>
  <c r="O18" i="119"/>
  <c r="U14" i="79" s="1"/>
  <c r="O17" i="119"/>
  <c r="U13" i="79" s="1"/>
  <c r="L16" i="119"/>
  <c r="R12" i="79" s="1"/>
  <c r="J17" i="119"/>
  <c r="P13" i="79" s="1"/>
  <c r="P17" i="119"/>
  <c r="V13" i="79" s="1"/>
  <c r="I20" i="119"/>
  <c r="O16" i="79" s="1"/>
  <c r="O20" i="119"/>
  <c r="U16" i="79" s="1"/>
  <c r="K17" i="119"/>
  <c r="Q13" i="79" s="1"/>
  <c r="I17" i="119"/>
  <c r="O13" i="79" s="1"/>
  <c r="L20" i="119"/>
  <c r="R16" i="79" s="1"/>
  <c r="N17" i="119"/>
  <c r="T13" i="79" s="1"/>
  <c r="J16" i="119"/>
  <c r="P12" i="79" s="1"/>
  <c r="M20" i="119"/>
  <c r="S16" i="79" s="1"/>
  <c r="J20" i="119"/>
  <c r="P16" i="79" s="1"/>
  <c r="P20" i="119"/>
  <c r="V16" i="79" s="1"/>
  <c r="N20" i="119"/>
  <c r="T16" i="79" s="1"/>
  <c r="AK49" i="82"/>
  <c r="AK51" i="82"/>
  <c r="AK41" i="82"/>
  <c r="AK43" i="82"/>
  <c r="S49" i="79"/>
  <c r="H14" i="73" s="1"/>
  <c r="R49" i="79"/>
  <c r="G14" i="73" s="1"/>
  <c r="O50" i="79"/>
  <c r="D15" i="73" s="1"/>
  <c r="M3" i="75"/>
  <c r="D55" i="79"/>
  <c r="Q46" i="79"/>
  <c r="F11" i="73" s="1"/>
  <c r="V46" i="79"/>
  <c r="K11" i="73" s="1"/>
  <c r="U46" i="79"/>
  <c r="J11" i="73" s="1"/>
  <c r="E55" i="79"/>
  <c r="V3" i="75"/>
  <c r="R45" i="79"/>
  <c r="G10" i="73" s="1"/>
  <c r="U49" i="79"/>
  <c r="J14" i="73" s="1"/>
  <c r="H59" i="79"/>
  <c r="M4" i="75"/>
  <c r="P49" i="79"/>
  <c r="E14" i="73" s="1"/>
  <c r="O46" i="79"/>
  <c r="D11" i="73" s="1"/>
  <c r="AT8" i="81"/>
  <c r="AK47" i="82"/>
  <c r="P3" i="75"/>
  <c r="T45" i="79"/>
  <c r="I10" i="73" s="1"/>
  <c r="K56" i="79"/>
  <c r="S46" i="79"/>
  <c r="H11" i="73" s="1"/>
  <c r="K57" i="79"/>
  <c r="U45" i="79"/>
  <c r="J10" i="73" s="1"/>
  <c r="P46" i="79"/>
  <c r="E11" i="73" s="1"/>
  <c r="P4" i="75"/>
  <c r="Q45" i="79"/>
  <c r="F10" i="73" s="1"/>
  <c r="T46" i="79"/>
  <c r="I11" i="73" s="1"/>
  <c r="AT18" i="81"/>
  <c r="P45" i="79"/>
  <c r="E10" i="73" s="1"/>
  <c r="P50" i="79"/>
  <c r="E15" i="73" s="1"/>
  <c r="T4" i="75"/>
  <c r="O59" i="79"/>
  <c r="R48" i="79"/>
  <c r="G13" i="73" s="1"/>
  <c r="R4" i="75"/>
  <c r="K55" i="79"/>
  <c r="I55" i="79"/>
  <c r="U47" i="79"/>
  <c r="J12" i="73" s="1"/>
  <c r="T48" i="79"/>
  <c r="I13" i="73" s="1"/>
  <c r="T3" i="75"/>
  <c r="H57" i="79"/>
  <c r="S3" i="75"/>
  <c r="J55" i="79"/>
  <c r="G55" i="79"/>
  <c r="R3" i="75"/>
  <c r="T50" i="79"/>
  <c r="I15" i="73" s="1"/>
  <c r="V45" i="79"/>
  <c r="K10" i="73" s="1"/>
  <c r="AT24" i="81"/>
  <c r="AW24" i="81" s="1"/>
  <c r="AW26" i="81" s="1"/>
  <c r="S45" i="79"/>
  <c r="H10" i="73" s="1"/>
  <c r="P48" i="79"/>
  <c r="E13" i="73" s="1"/>
  <c r="J56" i="79"/>
  <c r="U50" i="79"/>
  <c r="J15" i="73" s="1"/>
  <c r="R47" i="79"/>
  <c r="G12" i="73" s="1"/>
  <c r="U48" i="79"/>
  <c r="J13" i="73" s="1"/>
  <c r="V50" i="79"/>
  <c r="K15" i="73" s="1"/>
  <c r="R59" i="79"/>
  <c r="H55" i="79"/>
  <c r="S47" i="79"/>
  <c r="H12" i="73" s="1"/>
  <c r="Q3" i="75"/>
  <c r="I60" i="79"/>
  <c r="I56" i="79"/>
  <c r="H56" i="79"/>
  <c r="Q4" i="75"/>
  <c r="F59" i="79"/>
  <c r="U59" i="79"/>
  <c r="D56" i="79"/>
  <c r="S48" i="79"/>
  <c r="H13" i="73" s="1"/>
  <c r="N4" i="75"/>
  <c r="V4" i="75"/>
  <c r="D58" i="79"/>
  <c r="E56" i="79"/>
  <c r="Q59" i="79"/>
  <c r="E60" i="79"/>
  <c r="V48" i="79"/>
  <c r="K13" i="73" s="1"/>
  <c r="O4" i="75"/>
  <c r="F56" i="79"/>
  <c r="E57" i="79"/>
  <c r="S4" i="75"/>
  <c r="G58" i="79"/>
  <c r="J58" i="79"/>
  <c r="F57" i="79"/>
  <c r="G60" i="79"/>
  <c r="P47" i="79"/>
  <c r="E12" i="73" s="1"/>
  <c r="D59" i="79"/>
  <c r="K60" i="79"/>
  <c r="K59" i="79"/>
  <c r="I57" i="79"/>
  <c r="J59" i="79"/>
  <c r="E58" i="79"/>
  <c r="O47" i="79"/>
  <c r="D12" i="73" s="1"/>
  <c r="AT10" i="81"/>
  <c r="I59" i="79"/>
  <c r="D57" i="79"/>
  <c r="E59" i="79"/>
  <c r="S57" i="79"/>
  <c r="K58" i="79"/>
  <c r="F60" i="79"/>
  <c r="J60" i="79"/>
  <c r="O60" i="79"/>
  <c r="U57" i="79"/>
  <c r="R57" i="79"/>
  <c r="T57" i="79"/>
  <c r="O57" i="79"/>
  <c r="V6" i="75"/>
  <c r="AK39" i="82"/>
  <c r="U60" i="79"/>
  <c r="O6" i="75"/>
  <c r="Q56" i="79"/>
  <c r="S56" i="79"/>
  <c r="Q6" i="75"/>
  <c r="R58" i="79"/>
  <c r="V58" i="79"/>
  <c r="S5" i="75"/>
  <c r="U55" i="79"/>
  <c r="O5" i="75"/>
  <c r="Q55" i="79"/>
  <c r="R60" i="79"/>
  <c r="V56" i="79"/>
  <c r="T6" i="75"/>
  <c r="U56" i="79"/>
  <c r="S6" i="75"/>
  <c r="P58" i="79"/>
  <c r="U58" i="79"/>
  <c r="S58" i="79"/>
  <c r="V5" i="75"/>
  <c r="T5" i="75"/>
  <c r="V55" i="79"/>
  <c r="P55" i="79"/>
  <c r="N5" i="75"/>
  <c r="T56" i="79"/>
  <c r="R6" i="75"/>
  <c r="S60" i="79"/>
  <c r="O56" i="79"/>
  <c r="M6" i="75"/>
  <c r="P6" i="75"/>
  <c r="R56" i="79"/>
  <c r="O58" i="79"/>
  <c r="Q58" i="79"/>
  <c r="S55" i="79"/>
  <c r="Q5" i="75"/>
  <c r="M5" i="75"/>
  <c r="O55" i="79"/>
  <c r="AK45" i="82"/>
  <c r="V57" i="79"/>
  <c r="P60" i="79"/>
  <c r="P56" i="79"/>
  <c r="N6" i="75"/>
  <c r="T55" i="79"/>
  <c r="R5" i="75"/>
  <c r="R55" i="79"/>
  <c r="P5" i="75"/>
  <c r="P57" i="79"/>
  <c r="Q19" i="131" l="1"/>
  <c r="Q18" i="131"/>
  <c r="Q17" i="131"/>
  <c r="Q20" i="131"/>
  <c r="Q15" i="131"/>
  <c r="Q16" i="131"/>
  <c r="Q15" i="128"/>
  <c r="Q16" i="128"/>
  <c r="Q20" i="128"/>
  <c r="Q17" i="128"/>
  <c r="Q18" i="128"/>
  <c r="Q19" i="128"/>
  <c r="Q19" i="125"/>
  <c r="Q18" i="125"/>
  <c r="Q16" i="125"/>
  <c r="Q15" i="125"/>
  <c r="Q20" i="125"/>
  <c r="Q17" i="125"/>
  <c r="Q16" i="119"/>
  <c r="Q16" i="122"/>
  <c r="Q17" i="122"/>
  <c r="Q19" i="122"/>
  <c r="Q20" i="122"/>
  <c r="Q18" i="122"/>
  <c r="Q15" i="122"/>
  <c r="Q20" i="119"/>
  <c r="A5" i="38"/>
  <c r="S4" i="38" s="1"/>
  <c r="L17" i="14"/>
  <c r="B38" i="38" s="1"/>
  <c r="L8" i="14"/>
  <c r="B29" i="38" s="1"/>
  <c r="D19" i="14"/>
  <c r="B25" i="38" s="1"/>
  <c r="B17" i="14"/>
  <c r="A23" i="38" s="1"/>
  <c r="J15" i="14"/>
  <c r="A36" i="38" s="1"/>
  <c r="J12" i="14"/>
  <c r="A33" i="38" s="1"/>
  <c r="B8" i="14"/>
  <c r="A14" i="38" s="1"/>
  <c r="J19" i="14"/>
  <c r="A40" i="38" s="1"/>
  <c r="D15" i="14"/>
  <c r="B21" i="38" s="1"/>
  <c r="D12" i="14"/>
  <c r="B18" i="38" s="1"/>
  <c r="Q15" i="119"/>
  <c r="Q17" i="119"/>
  <c r="Q18" i="119"/>
  <c r="AO49" i="82"/>
  <c r="AM51" i="82" s="1"/>
  <c r="AM49" i="82"/>
  <c r="AO51" i="82" s="1"/>
  <c r="AN49" i="82"/>
  <c r="AN51" i="82" s="1"/>
  <c r="U3" i="75"/>
  <c r="AO45" i="82"/>
  <c r="AM47" i="82" s="1"/>
  <c r="AV24" i="81"/>
  <c r="BB24" i="81" s="1"/>
  <c r="AW8" i="81"/>
  <c r="AW10" i="81" s="1"/>
  <c r="AX24" i="81"/>
  <c r="AV26" i="81" s="1"/>
  <c r="BB26" i="81" s="1"/>
  <c r="AX8" i="81"/>
  <c r="AV10" i="81" s="1"/>
  <c r="AO41" i="82"/>
  <c r="AM43" i="82" s="1"/>
  <c r="AN41" i="82"/>
  <c r="AN43" i="82" s="1"/>
  <c r="AM41" i="82"/>
  <c r="AO43" i="82" s="1"/>
  <c r="U4" i="75"/>
  <c r="AM37" i="82"/>
  <c r="AO39" i="82" s="1"/>
  <c r="AV8" i="81"/>
  <c r="AX10" i="81" s="1"/>
  <c r="AN37" i="82"/>
  <c r="AN39" i="82" s="1"/>
  <c r="AO37" i="82"/>
  <c r="AM39" i="82" s="1"/>
  <c r="AM45" i="82"/>
  <c r="AO47" i="82" s="1"/>
  <c r="AN45" i="82"/>
  <c r="AN47" i="82" s="1"/>
  <c r="U6" i="75"/>
  <c r="U5" i="75"/>
  <c r="U8" i="38" l="1" a="1"/>
  <c r="U8" i="38" s="1"/>
  <c r="W3" i="38" a="1"/>
  <c r="W3" i="38" s="1"/>
  <c r="W5" i="38" a="1"/>
  <c r="W5" i="38" s="1"/>
  <c r="U5" i="38" a="1"/>
  <c r="U5" i="38" s="1"/>
  <c r="Y6" i="38"/>
  <c r="Y3" i="38"/>
  <c r="W7" i="38" a="1"/>
  <c r="W7" i="38" s="1"/>
  <c r="V7" i="38" a="1"/>
  <c r="V7" i="38" s="1"/>
  <c r="W8" i="38" a="1"/>
  <c r="W8" i="38" s="1"/>
  <c r="V6" i="38" a="1"/>
  <c r="V6" i="38" s="1"/>
  <c r="V3" i="38" a="1"/>
  <c r="V3" i="38" s="1"/>
  <c r="U3" i="38" a="1"/>
  <c r="U3" i="38" s="1"/>
  <c r="V8" i="38" a="1"/>
  <c r="V8" i="38" s="1"/>
  <c r="T7" i="38"/>
  <c r="T6" i="38"/>
  <c r="T3" i="38"/>
  <c r="Y8" i="38"/>
  <c r="U6" i="38" a="1"/>
  <c r="U6" i="38" s="1"/>
  <c r="T5" i="38"/>
  <c r="T8" i="38"/>
  <c r="W6" i="38" a="1"/>
  <c r="W6" i="38" s="1"/>
  <c r="U7" i="38" a="1"/>
  <c r="U7" i="38" s="1"/>
  <c r="X5" i="38"/>
  <c r="X6" i="38"/>
  <c r="Y5" i="38"/>
  <c r="X3" i="38"/>
  <c r="V5" i="38" a="1"/>
  <c r="V5" i="38" s="1"/>
  <c r="X8" i="38"/>
  <c r="X7" i="38"/>
  <c r="Y7" i="38"/>
  <c r="W4" i="38" a="1"/>
  <c r="W4" i="38" s="1"/>
  <c r="V4" i="38" a="1"/>
  <c r="V4" i="38" s="1"/>
  <c r="T4" i="38"/>
  <c r="Y4" i="38"/>
  <c r="X4" i="38"/>
  <c r="U4" i="38" a="1"/>
  <c r="U4" i="38" s="1"/>
  <c r="AS47" i="82"/>
  <c r="AL51" i="82"/>
  <c r="AL49" i="82"/>
  <c r="AS51" i="82"/>
  <c r="AS49" i="82"/>
  <c r="AX26" i="81"/>
  <c r="AU26" i="81" s="1"/>
  <c r="AU24" i="81"/>
  <c r="BB10" i="81"/>
  <c r="BD24" i="81"/>
  <c r="AU10" i="81"/>
  <c r="AS43" i="82"/>
  <c r="AL43" i="82"/>
  <c r="AL41" i="82"/>
  <c r="AS41" i="82"/>
  <c r="BB8" i="81"/>
  <c r="AU8" i="81"/>
  <c r="BD26" i="81"/>
  <c r="AL37" i="82"/>
  <c r="AS37" i="82"/>
  <c r="AS39" i="82"/>
  <c r="AL39" i="82"/>
  <c r="AL47" i="82"/>
  <c r="AL45" i="82"/>
  <c r="AS45" i="82"/>
  <c r="A15" i="75" a="1"/>
  <c r="A15" i="75" s="1"/>
  <c r="B14" i="81" s="1"/>
  <c r="A16" i="75" a="1"/>
  <c r="A16" i="75" s="1"/>
  <c r="B30" i="81" s="1"/>
  <c r="A18" i="75" a="1"/>
  <c r="A18" i="75" s="1"/>
  <c r="B6" i="81" s="1"/>
  <c r="A17" i="75" a="1"/>
  <c r="A17" i="75" s="1"/>
  <c r="B22" i="81" s="1"/>
  <c r="AA6" i="38" l="1"/>
  <c r="Z7" i="38"/>
  <c r="AA4" i="38"/>
  <c r="AA5" i="38"/>
  <c r="Z5" i="38"/>
  <c r="AA3" i="38"/>
  <c r="Z3" i="38"/>
  <c r="AA7" i="38"/>
  <c r="Z6" i="38"/>
  <c r="AB6" i="38" s="1"/>
  <c r="T10" i="38"/>
  <c r="Z4" i="38"/>
  <c r="Z8" i="38"/>
  <c r="AA8" i="38"/>
  <c r="AU45" i="82"/>
  <c r="AU49" i="82"/>
  <c r="AU51" i="82"/>
  <c r="BD8" i="81"/>
  <c r="AU43" i="82"/>
  <c r="BD10" i="81"/>
  <c r="AU41" i="82"/>
  <c r="BE26" i="81"/>
  <c r="BH26" i="81" s="1"/>
  <c r="AU39" i="82"/>
  <c r="BE24" i="81"/>
  <c r="BH24" i="81" s="1"/>
  <c r="AU37" i="82"/>
  <c r="AU47" i="82"/>
  <c r="G18" i="75"/>
  <c r="I19" i="73" s="1"/>
  <c r="F18" i="75"/>
  <c r="H19" i="73" s="1"/>
  <c r="I18" i="75"/>
  <c r="K19" i="73" s="1"/>
  <c r="E18" i="75"/>
  <c r="G19" i="73" s="1"/>
  <c r="J18" i="75"/>
  <c r="C18" i="75"/>
  <c r="E19" i="73" s="1"/>
  <c r="H18" i="75"/>
  <c r="J19" i="73" s="1"/>
  <c r="B18" i="75"/>
  <c r="D19" i="73" s="1"/>
  <c r="C19" i="73"/>
  <c r="D18" i="75"/>
  <c r="F19" i="73" s="1"/>
  <c r="J16" i="75"/>
  <c r="I16" i="75"/>
  <c r="K17" i="73" s="1"/>
  <c r="B16" i="75"/>
  <c r="D17" i="73" s="1"/>
  <c r="C17" i="73"/>
  <c r="G16" i="75"/>
  <c r="I17" i="73" s="1"/>
  <c r="D16" i="75"/>
  <c r="F17" i="73" s="1"/>
  <c r="C16" i="75"/>
  <c r="E17" i="73" s="1"/>
  <c r="H16" i="75"/>
  <c r="J17" i="73" s="1"/>
  <c r="F16" i="75"/>
  <c r="H17" i="73" s="1"/>
  <c r="E16" i="75"/>
  <c r="G17" i="73" s="1"/>
  <c r="C16" i="73"/>
  <c r="I15" i="75"/>
  <c r="K16" i="73" s="1"/>
  <c r="H15" i="75"/>
  <c r="J16" i="73" s="1"/>
  <c r="B15" i="75"/>
  <c r="D16" i="73" s="1"/>
  <c r="E15" i="75"/>
  <c r="G16" i="73" s="1"/>
  <c r="D15" i="75"/>
  <c r="F16" i="73" s="1"/>
  <c r="C15" i="75"/>
  <c r="E16" i="73" s="1"/>
  <c r="F15" i="75"/>
  <c r="H16" i="73" s="1"/>
  <c r="G15" i="75"/>
  <c r="I16" i="73" s="1"/>
  <c r="J15" i="75"/>
  <c r="B17" i="75"/>
  <c r="D18" i="73" s="1"/>
  <c r="C18" i="73"/>
  <c r="J17" i="75"/>
  <c r="I17" i="75"/>
  <c r="K18" i="73" s="1"/>
  <c r="D17" i="75"/>
  <c r="F18" i="73" s="1"/>
  <c r="F17" i="75"/>
  <c r="H18" i="73" s="1"/>
  <c r="H17" i="75"/>
  <c r="J18" i="73" s="1"/>
  <c r="E17" i="75"/>
  <c r="G18" i="73" s="1"/>
  <c r="G17" i="75"/>
  <c r="I18" i="73" s="1"/>
  <c r="C17" i="75"/>
  <c r="E18" i="73" s="1"/>
  <c r="AB7" i="38" l="1"/>
  <c r="AB4" i="38"/>
  <c r="AB5" i="38"/>
  <c r="AB3" i="38"/>
  <c r="AB8" i="38"/>
  <c r="AV47" i="82"/>
  <c r="AY47" i="82" s="1"/>
  <c r="AV49" i="82"/>
  <c r="AY49" i="82" s="1"/>
  <c r="AV51" i="82"/>
  <c r="AY51" i="82" s="1"/>
  <c r="BI24" i="81"/>
  <c r="BJ24" i="81" s="1"/>
  <c r="BI26" i="81"/>
  <c r="BJ26" i="81" s="1"/>
  <c r="AS26" i="81" s="1"/>
  <c r="BC26" i="81" s="1"/>
  <c r="BE8" i="81"/>
  <c r="BH8" i="81" s="1"/>
  <c r="BE10" i="81"/>
  <c r="BH10" i="81" s="1"/>
  <c r="AV41" i="82"/>
  <c r="AY41" i="82" s="1"/>
  <c r="AV43" i="82"/>
  <c r="AY43" i="82" s="1"/>
  <c r="AV37" i="82"/>
  <c r="AY37" i="82" s="1"/>
  <c r="AV39" i="82"/>
  <c r="AY39" i="82" s="1"/>
  <c r="AV45" i="82"/>
  <c r="AY45" i="82" s="1"/>
  <c r="AT22" i="81"/>
  <c r="AT14" i="81"/>
  <c r="AT6" i="81"/>
  <c r="AT30" i="81"/>
  <c r="AS24" i="81" l="1"/>
  <c r="H15" i="38" a="1"/>
  <c r="H15" i="38" s="1"/>
  <c r="B4" i="81" s="1"/>
  <c r="H19" i="38" a="1"/>
  <c r="H19" i="38" s="1"/>
  <c r="B16" i="81" s="1"/>
  <c r="H20" i="38" a="1"/>
  <c r="H20" i="38" s="1"/>
  <c r="B32" i="81" s="1"/>
  <c r="H18" i="38" a="1"/>
  <c r="H18" i="38" s="1"/>
  <c r="B12" i="81" s="1"/>
  <c r="H16" i="38" a="1"/>
  <c r="H16" i="38" s="1"/>
  <c r="B20" i="81" s="1"/>
  <c r="H17" i="38" a="1"/>
  <c r="H17" i="38" s="1"/>
  <c r="B28" i="81" s="1"/>
  <c r="P15" i="38"/>
  <c r="K45" i="79" s="1"/>
  <c r="K4" i="73" s="1"/>
  <c r="L15" i="38"/>
  <c r="G45" i="79" s="1"/>
  <c r="G4" i="73" s="1"/>
  <c r="N15" i="38"/>
  <c r="I45" i="79" s="1"/>
  <c r="I4" i="73" s="1"/>
  <c r="AZ51" i="82"/>
  <c r="BA51" i="82" s="1"/>
  <c r="AJ51" i="82" s="1"/>
  <c r="AT51" i="82" s="1"/>
  <c r="AZ45" i="82"/>
  <c r="BA45" i="82" s="1"/>
  <c r="AZ49" i="82"/>
  <c r="BA49" i="82" s="1"/>
  <c r="BI8" i="81"/>
  <c r="BJ8" i="81" s="1"/>
  <c r="AZ43" i="82"/>
  <c r="BA43" i="82" s="1"/>
  <c r="BI10" i="81"/>
  <c r="BJ10" i="81" s="1"/>
  <c r="AZ41" i="82"/>
  <c r="BA41" i="82" s="1"/>
  <c r="AZ37" i="82"/>
  <c r="BA37" i="82" s="1"/>
  <c r="AZ39" i="82"/>
  <c r="BA39" i="82" s="1"/>
  <c r="AZ47" i="82"/>
  <c r="BA47" i="82" s="1"/>
  <c r="AJ47" i="82" s="1"/>
  <c r="AT47" i="82" s="1"/>
  <c r="BC24" i="81" l="1"/>
  <c r="K24" i="81"/>
  <c r="AT47" i="81" s="1"/>
  <c r="Q17" i="38"/>
  <c r="C47" i="79"/>
  <c r="C6" i="73" s="1"/>
  <c r="O18" i="38"/>
  <c r="J48" i="79" s="1"/>
  <c r="J7" i="73" s="1"/>
  <c r="C48" i="79"/>
  <c r="C7" i="73" s="1"/>
  <c r="J20" i="38"/>
  <c r="E50" i="79" s="1"/>
  <c r="E9" i="73" s="1"/>
  <c r="C50" i="79"/>
  <c r="C9" i="73" s="1"/>
  <c r="M16" i="38"/>
  <c r="H46" i="79" s="1"/>
  <c r="H5" i="73" s="1"/>
  <c r="C46" i="79"/>
  <c r="C5" i="73" s="1"/>
  <c r="P19" i="38"/>
  <c r="K49" i="79" s="1"/>
  <c r="K8" i="73" s="1"/>
  <c r="C49" i="79"/>
  <c r="C8" i="73" s="1"/>
  <c r="O15" i="38"/>
  <c r="J45" i="79" s="1"/>
  <c r="J4" i="73" s="1"/>
  <c r="C45" i="79"/>
  <c r="C4" i="73" s="1"/>
  <c r="AJ49" i="82"/>
  <c r="AT49" i="82" s="1"/>
  <c r="L19" i="38"/>
  <c r="G49" i="79" s="1"/>
  <c r="G8" i="73" s="1"/>
  <c r="N18" i="38"/>
  <c r="I48" i="79" s="1"/>
  <c r="I7" i="73" s="1"/>
  <c r="I15" i="38"/>
  <c r="D45" i="79" s="1"/>
  <c r="D4" i="73" s="1"/>
  <c r="M15" i="38"/>
  <c r="H45" i="79" s="1"/>
  <c r="H4" i="73" s="1"/>
  <c r="Q15" i="38"/>
  <c r="J15" i="38"/>
  <c r="E45" i="79" s="1"/>
  <c r="E4" i="73" s="1"/>
  <c r="K15" i="38"/>
  <c r="F45" i="79" s="1"/>
  <c r="F4" i="73" s="1"/>
  <c r="I19" i="38"/>
  <c r="D49" i="79" s="1"/>
  <c r="D8" i="73" s="1"/>
  <c r="Q19" i="38"/>
  <c r="AT16" i="81" s="1"/>
  <c r="AX16" i="81" s="1"/>
  <c r="AV18" i="81" s="1"/>
  <c r="M20" i="38"/>
  <c r="H50" i="79" s="1"/>
  <c r="H9" i="73" s="1"/>
  <c r="J19" i="38"/>
  <c r="E49" i="79" s="1"/>
  <c r="E8" i="73" s="1"/>
  <c r="N19" i="38"/>
  <c r="I49" i="79" s="1"/>
  <c r="I8" i="73" s="1"/>
  <c r="L20" i="38"/>
  <c r="G50" i="79" s="1"/>
  <c r="G9" i="73" s="1"/>
  <c r="P20" i="38"/>
  <c r="K50" i="79" s="1"/>
  <c r="K9" i="73" s="1"/>
  <c r="K20" i="38"/>
  <c r="F50" i="79" s="1"/>
  <c r="F9" i="73" s="1"/>
  <c r="O19" i="38"/>
  <c r="J49" i="79" s="1"/>
  <c r="J8" i="73" s="1"/>
  <c r="M19" i="38"/>
  <c r="H49" i="79" s="1"/>
  <c r="H8" i="73" s="1"/>
  <c r="K19" i="38"/>
  <c r="F49" i="79" s="1"/>
  <c r="F8" i="73" s="1"/>
  <c r="I20" i="38"/>
  <c r="D50" i="79" s="1"/>
  <c r="D9" i="73" s="1"/>
  <c r="Q20" i="38"/>
  <c r="AT32" i="81" s="1"/>
  <c r="AW32" i="81" s="1"/>
  <c r="AW34" i="81" s="1"/>
  <c r="N20" i="38"/>
  <c r="I50" i="79" s="1"/>
  <c r="I9" i="73" s="1"/>
  <c r="N17" i="38"/>
  <c r="I47" i="79" s="1"/>
  <c r="I6" i="73" s="1"/>
  <c r="I18" i="38"/>
  <c r="D48" i="79" s="1"/>
  <c r="D7" i="73" s="1"/>
  <c r="I17" i="38"/>
  <c r="D47" i="79" s="1"/>
  <c r="D6" i="73" s="1"/>
  <c r="M18" i="38"/>
  <c r="H48" i="79" s="1"/>
  <c r="H7" i="73" s="1"/>
  <c r="J18" i="38"/>
  <c r="E48" i="79" s="1"/>
  <c r="E7" i="73" s="1"/>
  <c r="O20" i="38"/>
  <c r="J50" i="79" s="1"/>
  <c r="J9" i="73" s="1"/>
  <c r="L17" i="38"/>
  <c r="G47" i="79" s="1"/>
  <c r="G6" i="73" s="1"/>
  <c r="M17" i="38"/>
  <c r="H47" i="79" s="1"/>
  <c r="H6" i="73" s="1"/>
  <c r="Q18" i="38"/>
  <c r="L18" i="38"/>
  <c r="G48" i="79" s="1"/>
  <c r="G7" i="73" s="1"/>
  <c r="P18" i="38"/>
  <c r="K48" i="79" s="1"/>
  <c r="K7" i="73" s="1"/>
  <c r="N16" i="38"/>
  <c r="I46" i="79" s="1"/>
  <c r="I5" i="73" s="1"/>
  <c r="K18" i="38"/>
  <c r="F48" i="79" s="1"/>
  <c r="F7" i="73" s="1"/>
  <c r="L16" i="38"/>
  <c r="G46" i="79" s="1"/>
  <c r="G5" i="73" s="1"/>
  <c r="K16" i="38"/>
  <c r="F46" i="79" s="1"/>
  <c r="F5" i="73" s="1"/>
  <c r="I16" i="38"/>
  <c r="D46" i="79" s="1"/>
  <c r="D5" i="73" s="1"/>
  <c r="J17" i="38"/>
  <c r="E47" i="79" s="1"/>
  <c r="E6" i="73" s="1"/>
  <c r="K17" i="38"/>
  <c r="F47" i="79" s="1"/>
  <c r="F6" i="73" s="1"/>
  <c r="O16" i="38"/>
  <c r="J46" i="79" s="1"/>
  <c r="J5" i="73" s="1"/>
  <c r="P16" i="38"/>
  <c r="K46" i="79" s="1"/>
  <c r="K5" i="73" s="1"/>
  <c r="Q16" i="38"/>
  <c r="O17" i="38"/>
  <c r="J47" i="79" s="1"/>
  <c r="J6" i="73" s="1"/>
  <c r="P17" i="38"/>
  <c r="K47" i="79" s="1"/>
  <c r="K6" i="73" s="1"/>
  <c r="J16" i="38"/>
  <c r="E46" i="79" s="1"/>
  <c r="E5" i="73" s="1"/>
  <c r="AS8" i="81"/>
  <c r="BC8" i="81" s="1"/>
  <c r="AS10" i="81"/>
  <c r="BC10" i="81" s="1"/>
  <c r="AJ41" i="82"/>
  <c r="AJ43" i="82"/>
  <c r="AT43" i="82" s="1"/>
  <c r="AJ37" i="82"/>
  <c r="AT37" i="82" s="1"/>
  <c r="AJ39" i="82"/>
  <c r="AT39" i="82" s="1"/>
  <c r="AJ45" i="82"/>
  <c r="AT45" i="82" s="1"/>
  <c r="AX32" i="81" l="1"/>
  <c r="AV34" i="81" s="1"/>
  <c r="BB34" i="81" s="1"/>
  <c r="AV32" i="81"/>
  <c r="AX34" i="81" s="1"/>
  <c r="AU34" i="81" s="1"/>
  <c r="AV16" i="81"/>
  <c r="AX18" i="81" s="1"/>
  <c r="AT28" i="81"/>
  <c r="AX28" i="81" s="1"/>
  <c r="AV30" i="81" s="1"/>
  <c r="AT20" i="81"/>
  <c r="AV20" i="81" s="1"/>
  <c r="AT4" i="81"/>
  <c r="AW4" i="81" s="1"/>
  <c r="AW6" i="81" s="1"/>
  <c r="AW16" i="81"/>
  <c r="AW18" i="81" s="1"/>
  <c r="BB18" i="81" s="1"/>
  <c r="AT12" i="81"/>
  <c r="AX12" i="81" s="1"/>
  <c r="AV14" i="81" s="1"/>
  <c r="J28" i="82"/>
  <c r="AK60" i="82" s="1"/>
  <c r="K8" i="81"/>
  <c r="AT39" i="81" s="1"/>
  <c r="J10" i="82"/>
  <c r="AK54" i="82" s="1"/>
  <c r="AT41" i="82"/>
  <c r="J12" i="82"/>
  <c r="AK56" i="82" s="1"/>
  <c r="J26" i="82"/>
  <c r="AK58" i="82" s="1"/>
  <c r="AM58" i="82" s="1"/>
  <c r="AW12" i="81" l="1"/>
  <c r="AW14" i="81" s="1"/>
  <c r="AV12" i="81"/>
  <c r="AU12" i="81" s="1"/>
  <c r="AU32" i="81"/>
  <c r="BB32" i="81"/>
  <c r="BD32" i="81" s="1"/>
  <c r="AU16" i="81"/>
  <c r="AX22" i="81"/>
  <c r="AU18" i="81"/>
  <c r="AX14" i="81"/>
  <c r="AU14" i="81" s="1"/>
  <c r="BB12" i="81"/>
  <c r="AV4" i="81"/>
  <c r="AW20" i="81"/>
  <c r="AW22" i="81" s="1"/>
  <c r="AV28" i="81"/>
  <c r="BB14" i="81"/>
  <c r="BD14" i="81" s="1"/>
  <c r="AX4" i="81"/>
  <c r="AV6" i="81" s="1"/>
  <c r="BB6" i="81" s="1"/>
  <c r="AX20" i="81"/>
  <c r="AV22" i="81" s="1"/>
  <c r="AW28" i="81"/>
  <c r="AW30" i="81" s="1"/>
  <c r="BB16" i="81"/>
  <c r="BD16" i="81" s="1"/>
  <c r="AM54" i="82"/>
  <c r="AO56" i="82" s="1"/>
  <c r="AO54" i="82"/>
  <c r="AM56" i="82" s="1"/>
  <c r="AN54" i="82"/>
  <c r="AN56" i="82" s="1"/>
  <c r="AN58" i="82"/>
  <c r="AN60" i="82" s="1"/>
  <c r="AO58" i="82"/>
  <c r="AM60" i="82" s="1"/>
  <c r="AO60" i="82"/>
  <c r="BD34" i="81" l="1"/>
  <c r="BE32" i="81" s="1"/>
  <c r="BH32" i="81" s="1"/>
  <c r="BD18" i="81"/>
  <c r="BE18" i="81" s="1"/>
  <c r="BH18" i="81" s="1"/>
  <c r="AU4" i="81"/>
  <c r="BB4" i="81"/>
  <c r="BD4" i="81" s="1"/>
  <c r="AX6" i="81"/>
  <c r="AU6" i="81" s="1"/>
  <c r="AU20" i="81"/>
  <c r="BB22" i="81"/>
  <c r="BD12" i="81"/>
  <c r="BE12" i="81" s="1"/>
  <c r="BH12" i="81" s="1"/>
  <c r="BB30" i="81"/>
  <c r="BB20" i="81"/>
  <c r="AX30" i="81"/>
  <c r="AU30" i="81" s="1"/>
  <c r="BB28" i="81"/>
  <c r="AU28" i="81"/>
  <c r="AU22" i="81"/>
  <c r="AS56" i="82"/>
  <c r="AL56" i="82"/>
  <c r="AL54" i="82"/>
  <c r="AS54" i="82"/>
  <c r="AS58" i="82"/>
  <c r="AS60" i="82"/>
  <c r="AL60" i="82"/>
  <c r="AL58" i="82"/>
  <c r="BE34" i="81" l="1"/>
  <c r="BH34" i="81" s="1"/>
  <c r="BI34" i="81" s="1"/>
  <c r="BJ34" i="81" s="1"/>
  <c r="BD28" i="81"/>
  <c r="BD6" i="81"/>
  <c r="BE6" i="81" s="1"/>
  <c r="BH6" i="81" s="1"/>
  <c r="BD20" i="81"/>
  <c r="BE20" i="81" s="1"/>
  <c r="BH20" i="81" s="1"/>
  <c r="BD22" i="81"/>
  <c r="BE14" i="81"/>
  <c r="BH14" i="81" s="1"/>
  <c r="BI14" i="81" s="1"/>
  <c r="BJ14" i="81" s="1"/>
  <c r="BE16" i="81"/>
  <c r="BH16" i="81" s="1"/>
  <c r="BI16" i="81" s="1"/>
  <c r="BJ16" i="81" s="1"/>
  <c r="BD30" i="81"/>
  <c r="BE30" i="81" s="1"/>
  <c r="BH30" i="81" s="1"/>
  <c r="AU56" i="82"/>
  <c r="AU54" i="82"/>
  <c r="AU60" i="82"/>
  <c r="AU58" i="82"/>
  <c r="BI32" i="81" l="1"/>
  <c r="BJ32" i="81" s="1"/>
  <c r="AS32" i="81" s="1"/>
  <c r="BE4" i="81"/>
  <c r="BH4" i="81" s="1"/>
  <c r="BI4" i="81" s="1"/>
  <c r="BJ4" i="81" s="1"/>
  <c r="BE22" i="81"/>
  <c r="BH22" i="81" s="1"/>
  <c r="BI20" i="81" s="1"/>
  <c r="BJ20" i="81" s="1"/>
  <c r="BE28" i="81"/>
  <c r="BH28" i="81" s="1"/>
  <c r="BI28" i="81" s="1"/>
  <c r="BJ28" i="81" s="1"/>
  <c r="BI18" i="81"/>
  <c r="BJ18" i="81" s="1"/>
  <c r="AS18" i="81" s="1"/>
  <c r="BC18" i="81" s="1"/>
  <c r="BI12" i="81"/>
  <c r="BJ12" i="81" s="1"/>
  <c r="AS12" i="81" s="1"/>
  <c r="AV54" i="82"/>
  <c r="AY54" i="82" s="1"/>
  <c r="AV56" i="82"/>
  <c r="AY56" i="82" s="1"/>
  <c r="AV58" i="82"/>
  <c r="AY58" i="82" s="1"/>
  <c r="AV60" i="82"/>
  <c r="AY60" i="82" s="1"/>
  <c r="AS34" i="81" l="1"/>
  <c r="BC34" i="81" s="1"/>
  <c r="BC32" i="81"/>
  <c r="K32" i="81"/>
  <c r="AT51" i="81" s="1"/>
  <c r="AS16" i="81"/>
  <c r="BC12" i="81"/>
  <c r="AS14" i="81"/>
  <c r="BC14" i="81" s="1"/>
  <c r="BI22" i="81"/>
  <c r="BJ22" i="81" s="1"/>
  <c r="AS22" i="81" s="1"/>
  <c r="BC22" i="81" s="1"/>
  <c r="BI6" i="81"/>
  <c r="BJ6" i="81" s="1"/>
  <c r="AS6" i="81" s="1"/>
  <c r="BC6" i="81" s="1"/>
  <c r="BI30" i="81"/>
  <c r="BJ30" i="81" s="1"/>
  <c r="AS30" i="81" s="1"/>
  <c r="BC30" i="81" s="1"/>
  <c r="AZ54" i="82"/>
  <c r="BA54" i="82" s="1"/>
  <c r="AZ56" i="82"/>
  <c r="BA56" i="82" s="1"/>
  <c r="AZ60" i="82"/>
  <c r="BA60" i="82" s="1"/>
  <c r="AZ58" i="82"/>
  <c r="BA58" i="82" s="1"/>
  <c r="AS28" i="81" l="1"/>
  <c r="AS20" i="81"/>
  <c r="BC16" i="81"/>
  <c r="K16" i="81"/>
  <c r="AT43" i="81" s="1"/>
  <c r="K14" i="81"/>
  <c r="AS4" i="81"/>
  <c r="AJ56" i="82"/>
  <c r="AT56" i="82" s="1"/>
  <c r="AJ54" i="82"/>
  <c r="AJ58" i="82"/>
  <c r="AJ60" i="82"/>
  <c r="AT60" i="82" s="1"/>
  <c r="BC28" i="81" l="1"/>
  <c r="K30" i="81"/>
  <c r="BC20" i="81"/>
  <c r="K22" i="81"/>
  <c r="AT41" i="81"/>
  <c r="AV41" i="81" s="1"/>
  <c r="BC4" i="81"/>
  <c r="K6" i="81"/>
  <c r="AK74" i="82"/>
  <c r="AT54" i="82"/>
  <c r="S18" i="82"/>
  <c r="AK62" i="82" s="1"/>
  <c r="AT58" i="82"/>
  <c r="S20" i="82"/>
  <c r="AT49" i="81" l="1"/>
  <c r="AW49" i="81" s="1"/>
  <c r="AW51" i="81" s="1"/>
  <c r="AT45" i="81"/>
  <c r="AX45" i="81"/>
  <c r="AV47" i="81" s="1"/>
  <c r="AW45" i="81"/>
  <c r="AW47" i="81" s="1"/>
  <c r="AX43" i="81"/>
  <c r="AW41" i="81"/>
  <c r="AW43" i="81" s="1"/>
  <c r="AX41" i="81"/>
  <c r="AV43" i="81" s="1"/>
  <c r="AT37" i="81"/>
  <c r="AX37" i="81" s="1"/>
  <c r="AV39" i="81" s="1"/>
  <c r="AK76" i="82"/>
  <c r="AN74" i="82"/>
  <c r="AN76" i="82" s="1"/>
  <c r="AO74" i="82"/>
  <c r="AM76" i="82" s="1"/>
  <c r="AM74" i="82"/>
  <c r="AK64" i="82"/>
  <c r="AM62" i="82"/>
  <c r="AN62" i="82"/>
  <c r="AN64" i="82" s="1"/>
  <c r="AO62" i="82"/>
  <c r="AM64" i="82" s="1"/>
  <c r="AW37" i="81" l="1"/>
  <c r="AW39" i="81" s="1"/>
  <c r="AX49" i="81"/>
  <c r="AV51" i="81" s="1"/>
  <c r="AV49" i="81"/>
  <c r="BB47" i="81"/>
  <c r="AV45" i="81"/>
  <c r="BB43" i="81"/>
  <c r="AU41" i="81"/>
  <c r="BB41" i="81"/>
  <c r="BD41" i="81" s="1"/>
  <c r="AU43" i="81"/>
  <c r="BB39" i="81"/>
  <c r="AV37" i="81"/>
  <c r="AS64" i="82"/>
  <c r="AO76" i="82"/>
  <c r="AL76" i="82" s="1"/>
  <c r="AL74" i="82"/>
  <c r="AS74" i="82"/>
  <c r="AS62" i="82"/>
  <c r="AL62" i="82"/>
  <c r="AO64" i="82"/>
  <c r="AL64" i="82" s="1"/>
  <c r="AS76" i="82"/>
  <c r="AX51" i="81" l="1"/>
  <c r="AU51" i="81" s="1"/>
  <c r="AU49" i="81"/>
  <c r="BB49" i="81"/>
  <c r="BB51" i="81"/>
  <c r="AX47" i="81"/>
  <c r="AU47" i="81" s="1"/>
  <c r="BB45" i="81"/>
  <c r="BD45" i="81" s="1"/>
  <c r="AU45" i="81"/>
  <c r="BD43" i="81"/>
  <c r="BE43" i="81" s="1"/>
  <c r="BH43" i="81" s="1"/>
  <c r="AX39" i="81"/>
  <c r="AU39" i="81" s="1"/>
  <c r="AU37" i="81"/>
  <c r="BB37" i="81"/>
  <c r="BD37" i="81" s="1"/>
  <c r="AU76" i="82"/>
  <c r="AU62" i="82"/>
  <c r="AU64" i="82"/>
  <c r="AU74" i="82"/>
  <c r="BD49" i="81" l="1"/>
  <c r="BD51" i="81"/>
  <c r="BD47" i="81"/>
  <c r="BE47" i="81" s="1"/>
  <c r="BH47" i="81" s="1"/>
  <c r="BE41" i="81"/>
  <c r="BH41" i="81" s="1"/>
  <c r="BI41" i="81" s="1"/>
  <c r="BJ41" i="81" s="1"/>
  <c r="BD39" i="81"/>
  <c r="BE39" i="81" s="1"/>
  <c r="BH39" i="81" s="1"/>
  <c r="AV64" i="82"/>
  <c r="AY64" i="82" s="1"/>
  <c r="AV74" i="82"/>
  <c r="AY74" i="82" s="1"/>
  <c r="AV76" i="82"/>
  <c r="AY76" i="82" s="1"/>
  <c r="AV62" i="82"/>
  <c r="AY62" i="82" s="1"/>
  <c r="BE51" i="81" l="1"/>
  <c r="BH51" i="81" s="1"/>
  <c r="BE37" i="81"/>
  <c r="BH37" i="81" s="1"/>
  <c r="BI37" i="81" s="1"/>
  <c r="BJ37" i="81" s="1"/>
  <c r="BE49" i="81"/>
  <c r="BH49" i="81" s="1"/>
  <c r="BE45" i="81"/>
  <c r="BH45" i="81" s="1"/>
  <c r="BI45" i="81" s="1"/>
  <c r="BJ45" i="81" s="1"/>
  <c r="BI43" i="81"/>
  <c r="BJ43" i="81" s="1"/>
  <c r="AS43" i="81" s="1"/>
  <c r="BC43" i="81" s="1"/>
  <c r="AZ76" i="82"/>
  <c r="BA76" i="82" s="1"/>
  <c r="AJ76" i="82" s="1"/>
  <c r="AT76" i="82" s="1"/>
  <c r="AZ74" i="82"/>
  <c r="BA74" i="82" s="1"/>
  <c r="AJ74" i="82" s="1"/>
  <c r="AT74" i="82" s="1"/>
  <c r="AZ62" i="82"/>
  <c r="BA62" i="82" s="1"/>
  <c r="AZ64" i="82"/>
  <c r="BA64" i="82" s="1"/>
  <c r="BI49" i="81" l="1"/>
  <c r="BJ49" i="81" s="1"/>
  <c r="AS41" i="81"/>
  <c r="BI39" i="81"/>
  <c r="BJ39" i="81" s="1"/>
  <c r="AS39" i="81" s="1"/>
  <c r="BC39" i="81" s="1"/>
  <c r="BI51" i="81"/>
  <c r="BJ51" i="81" s="1"/>
  <c r="BI47" i="81"/>
  <c r="BJ47" i="81" s="1"/>
  <c r="AS47" i="81" s="1"/>
  <c r="BC47" i="81" s="1"/>
  <c r="AJ64" i="82"/>
  <c r="AT64" i="82" s="1"/>
  <c r="AJ62" i="82"/>
  <c r="AT62" i="82" s="1"/>
  <c r="AS49" i="81" l="1"/>
  <c r="AS51" i="81"/>
  <c r="BC51" i="81" s="1"/>
  <c r="BC49" i="81"/>
  <c r="AS45" i="81"/>
  <c r="BC41" i="81"/>
  <c r="S12" i="81"/>
  <c r="AT56" i="81" s="1"/>
  <c r="AS37" i="81"/>
  <c r="S28" i="81" l="1"/>
  <c r="AT60" i="81" s="1"/>
  <c r="BC45" i="81"/>
  <c r="S26" i="81"/>
  <c r="BC37" i="81"/>
  <c r="S10" i="81"/>
  <c r="AT58" i="81" l="1"/>
  <c r="AW58" i="81"/>
  <c r="AW60" i="81" s="1"/>
  <c r="AX58" i="81"/>
  <c r="AV60" i="81" s="1"/>
  <c r="AV58" i="81"/>
  <c r="AT54" i="81"/>
  <c r="AV54" i="81" s="1"/>
  <c r="AX60" i="81" l="1"/>
  <c r="AU60" i="81" s="1"/>
  <c r="AU58" i="81"/>
  <c r="BB58" i="81"/>
  <c r="BB60" i="81"/>
  <c r="AX56" i="81"/>
  <c r="AW54" i="81"/>
  <c r="AW56" i="81" s="1"/>
  <c r="AX54" i="81"/>
  <c r="AV56" i="81" s="1"/>
  <c r="BB56" i="81" s="1"/>
  <c r="BD58" i="81" l="1"/>
  <c r="BD60" i="81"/>
  <c r="AU56" i="81"/>
  <c r="BB54" i="81"/>
  <c r="BD56" i="81" s="1"/>
  <c r="AU54" i="81"/>
  <c r="BD54" i="81" l="1"/>
  <c r="BE56" i="81" s="1"/>
  <c r="BH56" i="81" s="1"/>
  <c r="BE60" i="81"/>
  <c r="BH60" i="81" s="1"/>
  <c r="BE58" i="81"/>
  <c r="BH58" i="81" s="1"/>
  <c r="BE54" i="81" l="1"/>
  <c r="BH54" i="81" s="1"/>
  <c r="BI54" i="81" s="1"/>
  <c r="BJ54" i="81" s="1"/>
  <c r="BI58" i="81"/>
  <c r="BJ58" i="81" s="1"/>
  <c r="BI60" i="81"/>
  <c r="BJ60" i="81" s="1"/>
  <c r="AS60" i="81" s="1"/>
  <c r="BC60" i="81" s="1"/>
  <c r="BI56" i="81"/>
  <c r="BJ56" i="81" s="1"/>
  <c r="AS54" i="81" l="1"/>
  <c r="AS58" i="81"/>
  <c r="BC58" i="81" s="1"/>
  <c r="AB32" i="81"/>
  <c r="AT76" i="81" s="1"/>
  <c r="AS56" i="81"/>
  <c r="BC56" i="81" s="1"/>
  <c r="BC54" i="81"/>
  <c r="AB20" i="81" l="1"/>
  <c r="AT64" i="81" s="1"/>
  <c r="AB18" i="81"/>
  <c r="AB30" i="81"/>
  <c r="AT74" i="81" s="1"/>
  <c r="AX74" i="81" s="1"/>
  <c r="AV76" i="81" s="1"/>
  <c r="AW74" i="81" l="1"/>
  <c r="AW76" i="81" s="1"/>
  <c r="AV74" i="81"/>
  <c r="AX76" i="81" s="1"/>
  <c r="AU76" i="81"/>
  <c r="BB76" i="81"/>
  <c r="AT62" i="81"/>
  <c r="AW62" i="81"/>
  <c r="AW64" i="81" s="1"/>
  <c r="AU74" i="81"/>
  <c r="BB74" i="81"/>
  <c r="BD76" i="81" s="1"/>
  <c r="BD74" i="81" l="1"/>
  <c r="AX62" i="81"/>
  <c r="AV64" i="81" s="1"/>
  <c r="AV62" i="81"/>
  <c r="BE74" i="81"/>
  <c r="BH74" i="81" s="1"/>
  <c r="BE76" i="81"/>
  <c r="BH76" i="81" s="1"/>
  <c r="BI74" i="81" l="1"/>
  <c r="BJ74" i="81" s="1"/>
  <c r="AX64" i="81"/>
  <c r="AU64" i="81" s="1"/>
  <c r="BB62" i="81"/>
  <c r="AU62" i="81"/>
  <c r="BI76" i="81"/>
  <c r="BJ76" i="81" s="1"/>
  <c r="AS76" i="81" s="1"/>
  <c r="BC76" i="81" s="1"/>
  <c r="BB64" i="81"/>
  <c r="AS74" i="81" l="1"/>
  <c r="BC74" i="81" s="1"/>
  <c r="BD64" i="81"/>
  <c r="BD62" i="81"/>
  <c r="BE62" i="81" s="1"/>
  <c r="BH62" i="81" s="1"/>
  <c r="BE64" i="81"/>
  <c r="BH64" i="81" s="1"/>
  <c r="BI64" i="81" l="1"/>
  <c r="BJ64" i="81" s="1"/>
  <c r="BI62" i="81"/>
  <c r="BJ62" i="81" s="1"/>
  <c r="AS62" i="81" s="1"/>
  <c r="BC62" i="81" s="1"/>
  <c r="AS64" i="81" l="1"/>
  <c r="BC64" i="81" s="1"/>
</calcChain>
</file>

<file path=xl/sharedStrings.xml><?xml version="1.0" encoding="utf-8"?>
<sst xmlns="http://schemas.openxmlformats.org/spreadsheetml/2006/main" count="2583" uniqueCount="149">
  <si>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</si>
  <si>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</si>
  <si>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</si>
  <si>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</si>
  <si>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</si>
  <si>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</si>
  <si>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</si>
  <si>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</si>
  <si>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</si>
  <si>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</si>
  <si>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</si>
  <si>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</si>
  <si>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</si>
  <si>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</si>
  <si>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</si>
  <si>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Home</t>
  </si>
  <si>
    <t>Away</t>
  </si>
  <si>
    <t>Score</t>
  </si>
  <si>
    <t>Match</t>
  </si>
  <si>
    <t>-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</si>
  <si>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</si>
  <si>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</si>
  <si>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</si>
  <si>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</si>
  <si>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</si>
  <si>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</si>
  <si>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</si>
  <si>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</si>
  <si>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</si>
  <si>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</si>
  <si>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</si>
  <si>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</si>
  <si>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</si>
  <si>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</si>
  <si>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</si>
  <si>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Team</t>
  </si>
  <si>
    <t>Player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</si>
  <si>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</si>
  <si>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</si>
  <si>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</si>
  <si>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</si>
  <si>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</si>
  <si>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</si>
  <si>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</si>
  <si>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</si>
  <si>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</si>
  <si>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</si>
  <si>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</si>
  <si>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</si>
  <si>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Nr.</t>
  </si>
  <si>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</si>
  <si>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</si>
  <si>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</si>
  <si>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</si>
  <si>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</si>
  <si>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</si>
  <si>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</si>
  <si>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</si>
  <si>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</si>
  <si>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</si>
  <si>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</si>
  <si>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Bonus/penalty points</t>
  </si>
  <si>
    <t>ROUND 1</t>
  </si>
  <si>
    <t>Table</t>
  </si>
  <si>
    <t>:</t>
  </si>
  <si>
    <t>Master</t>
  </si>
  <si>
    <t>2nd A</t>
  </si>
  <si>
    <t>2nd B</t>
  </si>
  <si>
    <t>Super</t>
  </si>
  <si>
    <t>A</t>
  </si>
  <si>
    <t>F</t>
  </si>
  <si>
    <t>G</t>
  </si>
  <si>
    <t>+/-</t>
  </si>
  <si>
    <t>P</t>
  </si>
  <si>
    <t>Group A</t>
  </si>
  <si>
    <t>Group B</t>
  </si>
  <si>
    <t>Group C</t>
  </si>
  <si>
    <t>Group D</t>
  </si>
  <si>
    <t>Group E</t>
  </si>
  <si>
    <t>Group F</t>
  </si>
  <si>
    <t>Master Group</t>
  </si>
  <si>
    <t>Super Group</t>
  </si>
  <si>
    <t>2nd change Group A</t>
  </si>
  <si>
    <t>2nd change Group B</t>
  </si>
  <si>
    <t>ROUND OF 16</t>
  </si>
  <si>
    <t>QUARTER FINALS</t>
  </si>
  <si>
    <t>SEMI FINALS</t>
  </si>
  <si>
    <t>FINAL</t>
  </si>
  <si>
    <t>No</t>
  </si>
  <si>
    <t>Points (rank)</t>
  </si>
  <si>
    <t>Points (countif)</t>
  </si>
  <si>
    <t>H2H 11</t>
  </si>
  <si>
    <t>H2H 11 (rank)</t>
  </si>
  <si>
    <t>Coefficient</t>
  </si>
  <si>
    <t>a.e.t.</t>
  </si>
  <si>
    <t>Last 16</t>
  </si>
  <si>
    <t>GD rank</t>
  </si>
  <si>
    <t>GD (Countif)</t>
  </si>
  <si>
    <t>QF 1</t>
  </si>
  <si>
    <t>QF 2</t>
  </si>
  <si>
    <t>QF 3</t>
  </si>
  <si>
    <t>QF 4</t>
  </si>
  <si>
    <t>SF 1</t>
  </si>
  <si>
    <t>SF 2</t>
  </si>
  <si>
    <t>FINAL + BRONZE</t>
  </si>
  <si>
    <t>BRONZE</t>
  </si>
  <si>
    <t>1ST ROUND</t>
  </si>
  <si>
    <t>2ND ROUND</t>
  </si>
  <si>
    <t>Knockout stages</t>
  </si>
  <si>
    <t>Group + 2nd Round tables</t>
  </si>
  <si>
    <t>Draw results</t>
  </si>
  <si>
    <t>Group + 2nd Round results</t>
  </si>
  <si>
    <t>DjowGer</t>
  </si>
  <si>
    <t>Sanek</t>
  </si>
  <si>
    <t>Schulle</t>
  </si>
  <si>
    <t>Bromberg</t>
  </si>
  <si>
    <t>FC Sandkagen</t>
  </si>
  <si>
    <t>Tobby</t>
  </si>
  <si>
    <t>Cheval</t>
  </si>
  <si>
    <t>Bomb</t>
  </si>
  <si>
    <t>Klaris</t>
  </si>
  <si>
    <t>AndYpsilon</t>
  </si>
  <si>
    <t>Paider</t>
  </si>
  <si>
    <t>GoaGuru</t>
  </si>
  <si>
    <t>Fifko</t>
  </si>
  <si>
    <t>Blazej</t>
  </si>
  <si>
    <t>Lobo</t>
  </si>
  <si>
    <t>Szeszesek</t>
  </si>
  <si>
    <t>xflea</t>
  </si>
  <si>
    <t>Egebjerg Luxus</t>
  </si>
  <si>
    <t>Leoninho</t>
  </si>
  <si>
    <t>bobbiebobras</t>
  </si>
  <si>
    <t>Ruhbi</t>
  </si>
  <si>
    <t>ElMichaJ</t>
  </si>
  <si>
    <t>Klinki</t>
  </si>
  <si>
    <t>DefenseMutte</t>
  </si>
  <si>
    <t>FRK Pawel</t>
  </si>
  <si>
    <t>Playaveli</t>
  </si>
  <si>
    <t>Foka</t>
  </si>
  <si>
    <t>Hawkz</t>
  </si>
  <si>
    <t>DoTa</t>
  </si>
  <si>
    <t>Caniggia11</t>
  </si>
  <si>
    <t>Dior</t>
  </si>
  <si>
    <t>Andib</t>
  </si>
  <si>
    <t>Cinek</t>
  </si>
  <si>
    <t>Dennis</t>
  </si>
  <si>
    <t>AbelXavier</t>
  </si>
  <si>
    <t>Team Oelkohold</t>
  </si>
  <si>
    <t>Enbino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</si>
</sst>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\+#,##0;\-#,##0;#,##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3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10"/>
      <name val="Arial"/>
      <family val="2"/>
    </font>
    <font>
      <b/>
      <sz val="14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0"/>
      <name val="Calibri"/>
      <family val="2"/>
      <scheme val="minor"/>
    </font>
    <font>
      <b/>
      <sz val="36"/>
      <color theme="0"/>
      <name val="Calibri"/>
      <family val="2"/>
      <charset val="238"/>
      <scheme val="minor"/>
    </font>
    <font>
      <b/>
      <sz val="36"/>
      <color theme="0"/>
      <name val="Arial"/>
      <family val="2"/>
      <charset val="238"/>
    </font>
    <font>
      <b/>
      <sz val="16"/>
      <color theme="0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patternFill patternType="solid">
        <fgColor theme="7"/>
        <bgColor indexed="64"/>
      </patternFill>
    </fill>
    <fill>
      <patternFill patternType="solid">
        <fgColor theme="1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C00000"/>
        </stop>
      </gradientFill>
    </fill>
  </fills>
  <borders count="8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9" tint="-0.499984740745262"/>
      </right>
      <top style="thick">
        <color indexed="64"/>
      </top>
      <bottom style="medium">
        <color theme="9" tint="-0.499984740745262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thick">
        <color theme="1"/>
      </bottom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auto="1"/>
      </left>
      <right style="thick">
        <color theme="0"/>
      </right>
      <top style="thick">
        <color indexed="64"/>
      </top>
      <bottom style="medium">
        <color theme="9" tint="-0.499984740745262"/>
      </bottom>
      <diagonal/>
    </border>
    <border>
      <left style="thick">
        <color auto="1"/>
      </left>
      <right style="thick">
        <color theme="0"/>
      </right>
      <top style="medium">
        <color theme="9" tint="-0.499984740745262"/>
      </top>
      <bottom style="thick">
        <color theme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6">
    <xf numFmtId="0" fontId="0" fillId="0" borderId="0"/>
    <xf numFmtId="0" fontId="3" fillId="0" borderId="0"/>
    <xf numFmtId="43" fontId="15" fillId="0" borderId="0" applyFont="0" applyFill="0" applyBorder="0" applyAlignment="0" applyProtection="0"/>
    <xf numFmtId="0" fontId="15" fillId="0" borderId="0"/>
    <xf numFmtId="0" fontId="2" fillId="0" borderId="0"/>
    <xf numFmtId="0" fontId="1" fillId="0" borderId="0"/>
  </cellStyleXfs>
  <cellXfs count="320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/>
    <xf numFmtId="0" fontId="0" fillId="0" borderId="0" xfId="0" applyAlignment="1"/>
    <xf numFmtId="0" fontId="9" fillId="0" borderId="1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2" fillId="0" borderId="0" xfId="1" applyFont="1" applyFill="1"/>
    <xf numFmtId="0" fontId="3" fillId="0" borderId="0" xfId="1" applyFill="1"/>
    <xf numFmtId="0" fontId="3" fillId="0" borderId="0" xfId="1"/>
    <xf numFmtId="0" fontId="3" fillId="0" borderId="0" xfId="1" applyAlignment="1">
      <alignment horizontal="center"/>
    </xf>
    <xf numFmtId="0" fontId="3" fillId="0" borderId="0" xfId="1" applyFont="1" applyFill="1"/>
    <xf numFmtId="0" fontId="3" fillId="0" borderId="8" xfId="1" applyBorder="1" applyAlignment="1">
      <alignment horizontal="center"/>
    </xf>
    <xf numFmtId="0" fontId="3" fillId="0" borderId="25" xfId="1" applyBorder="1" applyAlignment="1">
      <alignment horizontal="center"/>
    </xf>
    <xf numFmtId="0" fontId="3" fillId="0" borderId="26" xfId="1" applyBorder="1" applyAlignment="1">
      <alignment horizontal="center"/>
    </xf>
    <xf numFmtId="0" fontId="3" fillId="0" borderId="13" xfId="1" applyBorder="1" applyAlignment="1">
      <alignment horizontal="center"/>
    </xf>
    <xf numFmtId="0" fontId="3" fillId="0" borderId="0" xfId="1" applyFill="1" applyBorder="1" applyAlignment="1">
      <alignment horizontal="center"/>
    </xf>
    <xf numFmtId="0" fontId="9" fillId="0" borderId="4" xfId="1" applyFont="1" applyFill="1" applyBorder="1"/>
    <xf numFmtId="0" fontId="13" fillId="0" borderId="0" xfId="1" applyFont="1" applyFill="1"/>
    <xf numFmtId="0" fontId="14" fillId="0" borderId="27" xfId="1" applyFont="1" applyBorder="1" applyAlignment="1"/>
    <xf numFmtId="0" fontId="3" fillId="0" borderId="28" xfId="1" applyBorder="1" applyAlignment="1">
      <alignment horizontal="center"/>
    </xf>
    <xf numFmtId="0" fontId="3" fillId="0" borderId="29" xfId="1" applyBorder="1" applyAlignment="1">
      <alignment horizontal="center"/>
    </xf>
    <xf numFmtId="0" fontId="3" fillId="0" borderId="30" xfId="1" applyBorder="1" applyAlignment="1">
      <alignment horizontal="center"/>
    </xf>
    <xf numFmtId="0" fontId="3" fillId="0" borderId="0" xfId="1" applyBorder="1" applyAlignment="1">
      <alignment horizontal="center"/>
    </xf>
    <xf numFmtId="0" fontId="3" fillId="0" borderId="4" xfId="1" applyFill="1" applyBorder="1"/>
    <xf numFmtId="0" fontId="14" fillId="0" borderId="0" xfId="1" applyFont="1" applyAlignment="1"/>
    <xf numFmtId="0" fontId="14" fillId="0" borderId="0" xfId="1" applyFont="1" applyFill="1" applyBorder="1" applyAlignment="1"/>
    <xf numFmtId="0" fontId="9" fillId="0" borderId="0" xfId="1" applyFont="1" applyAlignment="1">
      <alignment horizontal="center"/>
    </xf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13" xfId="1" applyBorder="1"/>
    <xf numFmtId="0" fontId="3" fillId="0" borderId="30" xfId="1" applyBorder="1"/>
    <xf numFmtId="0" fontId="9" fillId="0" borderId="4" xfId="1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/>
    </xf>
    <xf numFmtId="0" fontId="9" fillId="8" borderId="4" xfId="0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18" fillId="4" borderId="29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9" fontId="18" fillId="4" borderId="25" xfId="0" applyNumberFormat="1" applyFont="1" applyFill="1" applyBorder="1" applyAlignment="1">
      <alignment horizontal="center" vertical="center"/>
    </xf>
    <xf numFmtId="0" fontId="18" fillId="4" borderId="28" xfId="0" applyFont="1" applyFill="1" applyBorder="1" applyAlignment="1">
      <alignment horizontal="center" vertical="center"/>
    </xf>
    <xf numFmtId="0" fontId="18" fillId="8" borderId="29" xfId="0" applyFont="1" applyFill="1" applyBorder="1" applyAlignment="1">
      <alignment horizontal="center" vertical="center"/>
    </xf>
    <xf numFmtId="0" fontId="18" fillId="8" borderId="28" xfId="0" applyFont="1" applyFill="1" applyBorder="1" applyAlignment="1">
      <alignment horizontal="center" vertical="center"/>
    </xf>
    <xf numFmtId="0" fontId="18" fillId="8" borderId="25" xfId="0" applyFont="1" applyFill="1" applyBorder="1" applyAlignment="1">
      <alignment horizontal="center" vertical="center"/>
    </xf>
    <xf numFmtId="49" fontId="18" fillId="8" borderId="25" xfId="0" applyNumberFormat="1" applyFont="1" applyFill="1" applyBorder="1" applyAlignment="1">
      <alignment horizontal="center" vertical="center"/>
    </xf>
    <xf numFmtId="0" fontId="18" fillId="13" borderId="25" xfId="0" applyFont="1" applyFill="1" applyBorder="1" applyAlignment="1">
      <alignment horizontal="center" vertical="center"/>
    </xf>
    <xf numFmtId="49" fontId="18" fillId="13" borderId="25" xfId="0" applyNumberFormat="1" applyFont="1" applyFill="1" applyBorder="1" applyAlignment="1">
      <alignment horizontal="center" vertical="center"/>
    </xf>
    <xf numFmtId="0" fontId="18" fillId="13" borderId="36" xfId="0" applyFont="1" applyFill="1" applyBorder="1" applyAlignment="1">
      <alignment horizontal="center" vertical="center"/>
    </xf>
    <xf numFmtId="0" fontId="18" fillId="13" borderId="30" xfId="0" applyFont="1" applyFill="1" applyBorder="1" applyAlignment="1">
      <alignment horizontal="center" vertical="center"/>
    </xf>
    <xf numFmtId="0" fontId="18" fillId="11" borderId="29" xfId="0" applyFont="1" applyFill="1" applyBorder="1" applyAlignment="1">
      <alignment horizontal="center" vertical="center"/>
    </xf>
    <xf numFmtId="0" fontId="18" fillId="11" borderId="28" xfId="0" applyFont="1" applyFill="1" applyBorder="1" applyAlignment="1">
      <alignment horizontal="center" vertical="center"/>
    </xf>
    <xf numFmtId="0" fontId="18" fillId="11" borderId="25" xfId="0" applyFont="1" applyFill="1" applyBorder="1" applyAlignment="1">
      <alignment horizontal="center" vertical="center"/>
    </xf>
    <xf numFmtId="49" fontId="18" fillId="11" borderId="25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20" fillId="0" borderId="0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23" fillId="0" borderId="40" xfId="0" applyFont="1" applyBorder="1" applyAlignment="1" applyProtection="1">
      <alignment horizontal="center"/>
      <protection locked="0" hidden="1"/>
    </xf>
    <xf numFmtId="0" fontId="0" fillId="0" borderId="4" xfId="0" applyFont="1" applyFill="1" applyBorder="1" applyAlignment="1" applyProtection="1">
      <alignment horizontal="center" vertical="center"/>
      <protection hidden="1"/>
    </xf>
    <xf numFmtId="0" fontId="24" fillId="0" borderId="41" xfId="0" applyFont="1" applyFill="1" applyBorder="1" applyAlignment="1" applyProtection="1">
      <alignment horizontal="center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19" xfId="0" applyNumberFormat="1" applyFill="1" applyBorder="1" applyAlignment="1" applyProtection="1">
      <alignment horizontal="center" vertical="center"/>
      <protection hidden="1"/>
    </xf>
    <xf numFmtId="0" fontId="0" fillId="0" borderId="20" xfId="0" applyNumberFormat="1" applyFill="1" applyBorder="1" applyAlignment="1" applyProtection="1">
      <alignment horizontal="center" vertical="center"/>
      <protection hidden="1"/>
    </xf>
    <xf numFmtId="0" fontId="0" fillId="0" borderId="21" xfId="0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10" borderId="4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1" fontId="15" fillId="4" borderId="4" xfId="2" applyNumberForma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1" fontId="15" fillId="0" borderId="0" xfId="2" applyNumberFormat="1" applyFill="1" applyBorder="1" applyAlignment="1" applyProtection="1">
      <alignment horizontal="center" vertical="center"/>
      <protection hidden="1"/>
    </xf>
    <xf numFmtId="0" fontId="22" fillId="0" borderId="42" xfId="0" applyFont="1" applyFill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0" fontId="23" fillId="0" borderId="43" xfId="0" applyFont="1" applyBorder="1" applyAlignment="1" applyProtection="1">
      <protection locked="0" hidden="1"/>
    </xf>
    <xf numFmtId="0" fontId="0" fillId="7" borderId="43" xfId="0" applyFill="1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0" fontId="23" fillId="0" borderId="45" xfId="0" applyFont="1" applyBorder="1" applyAlignment="1" applyProtection="1">
      <alignment vertical="top"/>
      <protection locked="0" hidden="1"/>
    </xf>
    <xf numFmtId="0" fontId="0" fillId="0" borderId="43" xfId="0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vertical="center" textRotation="90"/>
      <protection hidden="1"/>
    </xf>
    <xf numFmtId="0" fontId="24" fillId="0" borderId="46" xfId="0" applyFont="1" applyFill="1" applyBorder="1" applyAlignment="1" applyProtection="1">
      <alignment horizontal="center" vertical="center"/>
      <protection hidden="1"/>
    </xf>
    <xf numFmtId="0" fontId="0" fillId="0" borderId="23" xfId="0" applyFill="1" applyBorder="1" applyAlignment="1" applyProtection="1">
      <alignment horizontal="center" vertical="center"/>
      <protection hidden="1"/>
    </xf>
    <xf numFmtId="0" fontId="0" fillId="0" borderId="22" xfId="0" applyNumberFormat="1" applyFill="1" applyBorder="1" applyAlignment="1" applyProtection="1">
      <alignment horizontal="center" vertical="center"/>
      <protection hidden="1"/>
    </xf>
    <xf numFmtId="0" fontId="0" fillId="0" borderId="23" xfId="0" applyNumberFormat="1" applyFill="1" applyBorder="1" applyAlignment="1" applyProtection="1">
      <alignment horizontal="center" vertical="center"/>
      <protection hidden="1"/>
    </xf>
    <xf numFmtId="0" fontId="0" fillId="0" borderId="24" xfId="0" applyFill="1" applyBorder="1" applyAlignment="1" applyProtection="1">
      <alignment horizontal="center" vertical="center"/>
      <protection hidden="1"/>
    </xf>
    <xf numFmtId="0" fontId="25" fillId="7" borderId="0" xfId="0" applyFont="1" applyFill="1" applyBorder="1" applyAlignment="1" applyProtection="1">
      <alignment vertical="center" textRotation="90"/>
      <protection hidden="1"/>
    </xf>
    <xf numFmtId="0" fontId="0" fillId="0" borderId="0" xfId="0" applyFont="1" applyBorder="1" applyAlignment="1" applyProtection="1">
      <alignment horizontal="center" vertical="center"/>
      <protection hidden="1"/>
    </xf>
    <xf numFmtId="0" fontId="0" fillId="0" borderId="25" xfId="0" applyBorder="1" applyProtection="1"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18" fillId="13" borderId="51" xfId="0" applyFont="1" applyFill="1" applyBorder="1" applyAlignment="1">
      <alignment horizontal="center" vertical="center"/>
    </xf>
    <xf numFmtId="0" fontId="18" fillId="13" borderId="47" xfId="0" applyFont="1" applyFill="1" applyBorder="1" applyAlignment="1">
      <alignment horizontal="center" vertical="center"/>
    </xf>
    <xf numFmtId="49" fontId="18" fillId="13" borderId="47" xfId="0" applyNumberFormat="1" applyFont="1" applyFill="1" applyBorder="1" applyAlignment="1">
      <alignment horizontal="center" vertical="center"/>
    </xf>
    <xf numFmtId="0" fontId="18" fillId="13" borderId="14" xfId="0" applyFont="1" applyFill="1" applyBorder="1" applyAlignment="1">
      <alignment horizontal="center" vertical="center"/>
    </xf>
    <xf numFmtId="0" fontId="14" fillId="0" borderId="4" xfId="1" applyFont="1" applyBorder="1" applyAlignment="1">
      <alignment horizontal="center"/>
    </xf>
    <xf numFmtId="0" fontId="3" fillId="0" borderId="4" xfId="1" applyFill="1" applyBorder="1" applyAlignment="1">
      <alignment horizontal="center"/>
    </xf>
    <xf numFmtId="0" fontId="18" fillId="4" borderId="4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27" fillId="0" borderId="50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Protection="1">
      <protection hidden="1"/>
    </xf>
    <xf numFmtId="0" fontId="27" fillId="0" borderId="0" xfId="0" applyFont="1"/>
    <xf numFmtId="0" fontId="26" fillId="16" borderId="48" xfId="0" applyFont="1" applyFill="1" applyBorder="1" applyAlignment="1" applyProtection="1">
      <alignment horizontal="center" vertical="center"/>
      <protection locked="0" hidden="1"/>
    </xf>
    <xf numFmtId="0" fontId="26" fillId="16" borderId="49" xfId="0" applyFont="1" applyFill="1" applyBorder="1" applyAlignment="1" applyProtection="1">
      <alignment horizontal="center" vertical="center"/>
      <protection locked="0" hidden="1"/>
    </xf>
    <xf numFmtId="0" fontId="29" fillId="0" borderId="5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Protection="1">
      <protection hidden="1"/>
    </xf>
    <xf numFmtId="0" fontId="22" fillId="0" borderId="52" xfId="0" applyFont="1" applyFill="1" applyBorder="1" applyAlignment="1" applyProtection="1">
      <alignment horizontal="center" vertical="center"/>
      <protection locked="0" hidden="1"/>
    </xf>
    <xf numFmtId="0" fontId="22" fillId="0" borderId="53" xfId="0" applyFont="1" applyFill="1" applyBorder="1" applyAlignment="1" applyProtection="1">
      <alignment horizontal="center" vertical="center"/>
      <protection locked="0" hidden="1"/>
    </xf>
    <xf numFmtId="0" fontId="28" fillId="0" borderId="54" xfId="0" applyFont="1" applyFill="1" applyBorder="1" applyAlignment="1" applyProtection="1">
      <alignment horizontal="center" vertical="center"/>
      <protection locked="0" hidden="1"/>
    </xf>
    <xf numFmtId="0" fontId="29" fillId="0" borderId="0" xfId="0" applyFont="1" applyFill="1" applyBorder="1" applyAlignment="1" applyProtection="1">
      <alignment horizontal="center" vertical="center"/>
      <protection hidden="1"/>
    </xf>
    <xf numFmtId="0" fontId="28" fillId="0" borderId="55" xfId="0" applyFont="1" applyFill="1" applyBorder="1" applyAlignment="1" applyProtection="1">
      <alignment horizontal="center" vertical="center"/>
      <protection locked="0" hidden="1"/>
    </xf>
    <xf numFmtId="0" fontId="26" fillId="16" borderId="56" xfId="0" applyFont="1" applyFill="1" applyBorder="1" applyAlignment="1" applyProtection="1">
      <alignment horizontal="center" vertical="center"/>
      <protection locked="0" hidden="1"/>
    </xf>
    <xf numFmtId="0" fontId="26" fillId="16" borderId="57" xfId="0" applyFont="1" applyFill="1" applyBorder="1" applyAlignment="1" applyProtection="1">
      <alignment horizontal="center" vertical="center"/>
      <protection locked="0" hidden="1"/>
    </xf>
    <xf numFmtId="0" fontId="0" fillId="10" borderId="0" xfId="0" applyFill="1" applyBorder="1" applyAlignment="1" applyProtection="1">
      <alignment horizontal="center" vertical="center"/>
      <protection hidden="1"/>
    </xf>
    <xf numFmtId="1" fontId="15" fillId="4" borderId="0" xfId="2" applyNumberForma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31" fillId="7" borderId="0" xfId="0" applyFont="1" applyFill="1" applyBorder="1" applyAlignment="1" applyProtection="1">
      <alignment vertical="center"/>
      <protection hidden="1"/>
    </xf>
    <xf numFmtId="0" fontId="17" fillId="7" borderId="0" xfId="0" applyFont="1" applyFill="1" applyBorder="1" applyAlignment="1" applyProtection="1">
      <alignment vertical="center"/>
      <protection hidden="1"/>
    </xf>
    <xf numFmtId="0" fontId="0" fillId="0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17" fillId="18" borderId="0" xfId="0" applyFont="1" applyFill="1" applyBorder="1" applyAlignment="1" applyProtection="1">
      <alignment vertical="center"/>
      <protection hidden="1"/>
    </xf>
    <xf numFmtId="0" fontId="0" fillId="18" borderId="0" xfId="0" applyFill="1" applyBorder="1" applyAlignment="1" applyProtection="1">
      <alignment horizontal="center"/>
      <protection hidden="1"/>
    </xf>
    <xf numFmtId="0" fontId="31" fillId="18" borderId="0" xfId="0" applyFont="1" applyFill="1" applyBorder="1" applyAlignment="1" applyProtection="1">
      <alignment vertical="center"/>
      <protection hidden="1"/>
    </xf>
    <xf numFmtId="0" fontId="0" fillId="18" borderId="0" xfId="0" applyFill="1" applyBorder="1" applyAlignment="1" applyProtection="1">
      <alignment horizontal="center" vertical="center"/>
      <protection hidden="1"/>
    </xf>
    <xf numFmtId="0" fontId="17" fillId="19" borderId="0" xfId="0" applyFont="1" applyFill="1" applyBorder="1" applyAlignment="1" applyProtection="1">
      <alignment vertical="center"/>
      <protection hidden="1"/>
    </xf>
    <xf numFmtId="0" fontId="0" fillId="19" borderId="0" xfId="0" applyFill="1" applyBorder="1" applyAlignment="1" applyProtection="1">
      <alignment horizontal="center"/>
      <protection hidden="1"/>
    </xf>
    <xf numFmtId="0" fontId="31" fillId="19" borderId="0" xfId="0" applyFont="1" applyFill="1" applyBorder="1" applyAlignment="1" applyProtection="1">
      <alignment vertical="center"/>
      <protection hidden="1"/>
    </xf>
    <xf numFmtId="0" fontId="0" fillId="19" borderId="0" xfId="0" applyFill="1" applyBorder="1" applyAlignment="1" applyProtection="1">
      <alignment horizontal="center" vertical="center"/>
      <protection hidden="1"/>
    </xf>
    <xf numFmtId="0" fontId="17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/>
      <protection hidden="1"/>
    </xf>
    <xf numFmtId="0" fontId="31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 vertical="center"/>
      <protection hidden="1"/>
    </xf>
    <xf numFmtId="0" fontId="32" fillId="7" borderId="0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5" fillId="0" borderId="0" xfId="3"/>
    <xf numFmtId="0" fontId="8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1" xfId="3" quotePrefix="1" applyFont="1" applyBorder="1" applyAlignment="1">
      <alignment horizontal="center" vertical="center"/>
    </xf>
    <xf numFmtId="0" fontId="5" fillId="0" borderId="0" xfId="3" applyFont="1" applyAlignment="1">
      <alignment horizontal="center"/>
    </xf>
    <xf numFmtId="0" fontId="5" fillId="0" borderId="0" xfId="3" applyFont="1"/>
    <xf numFmtId="0" fontId="6" fillId="0" borderId="0" xfId="3" applyFont="1"/>
    <xf numFmtId="0" fontId="7" fillId="0" borderId="0" xfId="3" applyFont="1"/>
    <xf numFmtId="0" fontId="5" fillId="0" borderId="1" xfId="3" applyFont="1" applyBorder="1" applyAlignment="1">
      <alignment horizontal="center" vertical="center"/>
    </xf>
    <xf numFmtId="0" fontId="15" fillId="0" borderId="0" xfId="3" applyAlignment="1">
      <alignment horizontal="center"/>
    </xf>
    <xf numFmtId="0" fontId="9" fillId="0" borderId="10" xfId="3" applyFont="1" applyBorder="1" applyAlignment="1">
      <alignment horizontal="center"/>
    </xf>
    <xf numFmtId="0" fontId="9" fillId="0" borderId="0" xfId="3" applyFont="1" applyAlignment="1"/>
    <xf numFmtId="0" fontId="9" fillId="0" borderId="0" xfId="3" applyFont="1" applyAlignment="1">
      <alignment horizontal="center"/>
    </xf>
    <xf numFmtId="0" fontId="2" fillId="0" borderId="16" xfId="3" applyFont="1" applyBorder="1" applyAlignment="1">
      <alignment horizontal="center"/>
    </xf>
    <xf numFmtId="0" fontId="15" fillId="0" borderId="0" xfId="3" applyAlignment="1"/>
    <xf numFmtId="0" fontId="2" fillId="0" borderId="17" xfId="3" applyFont="1" applyBorder="1" applyAlignment="1">
      <alignment horizontal="center"/>
    </xf>
    <xf numFmtId="0" fontId="2" fillId="0" borderId="18" xfId="3" applyFont="1" applyBorder="1" applyAlignment="1">
      <alignment horizontal="center"/>
    </xf>
    <xf numFmtId="0" fontId="12" fillId="0" borderId="0" xfId="4" applyFont="1" applyFill="1"/>
    <xf numFmtId="0" fontId="2" fillId="0" borderId="0" xfId="4" applyFill="1"/>
    <xf numFmtId="0" fontId="2" fillId="0" borderId="0" xfId="4"/>
    <xf numFmtId="0" fontId="2" fillId="0" borderId="0" xfId="4" applyAlignment="1">
      <alignment horizontal="center"/>
    </xf>
    <xf numFmtId="0" fontId="2" fillId="0" borderId="0" xfId="4" applyFont="1" applyFill="1"/>
    <xf numFmtId="0" fontId="2" fillId="0" borderId="8" xfId="4" applyBorder="1" applyAlignment="1">
      <alignment horizontal="center"/>
    </xf>
    <xf numFmtId="0" fontId="2" fillId="0" borderId="25" xfId="4" applyBorder="1" applyAlignment="1">
      <alignment horizontal="center"/>
    </xf>
    <xf numFmtId="0" fontId="2" fillId="0" borderId="26" xfId="4" applyBorder="1" applyAlignment="1">
      <alignment horizontal="center"/>
    </xf>
    <xf numFmtId="0" fontId="2" fillId="0" borderId="13" xfId="4" applyBorder="1" applyAlignment="1">
      <alignment horizontal="center"/>
    </xf>
    <xf numFmtId="0" fontId="2" fillId="0" borderId="0" xfId="4" applyFill="1" applyBorder="1" applyAlignment="1">
      <alignment horizontal="center"/>
    </xf>
    <xf numFmtId="0" fontId="9" fillId="0" borderId="4" xfId="4" applyFont="1" applyFill="1" applyBorder="1"/>
    <xf numFmtId="0" fontId="13" fillId="0" borderId="0" xfId="4" applyFont="1" applyFill="1"/>
    <xf numFmtId="0" fontId="14" fillId="0" borderId="27" xfId="4" applyFont="1" applyBorder="1" applyAlignment="1"/>
    <xf numFmtId="0" fontId="2" fillId="0" borderId="28" xfId="4" applyBorder="1" applyAlignment="1">
      <alignment horizontal="center"/>
    </xf>
    <xf numFmtId="0" fontId="2" fillId="0" borderId="29" xfId="4" applyBorder="1" applyAlignment="1">
      <alignment horizontal="center"/>
    </xf>
    <xf numFmtId="0" fontId="2" fillId="0" borderId="30" xfId="4" applyBorder="1" applyAlignment="1">
      <alignment horizontal="center"/>
    </xf>
    <xf numFmtId="0" fontId="2" fillId="0" borderId="0" xfId="4" applyBorder="1" applyAlignment="1">
      <alignment horizontal="center"/>
    </xf>
    <xf numFmtId="0" fontId="2" fillId="0" borderId="4" xfId="4" applyFill="1" applyBorder="1"/>
    <xf numFmtId="0" fontId="14" fillId="0" borderId="0" xfId="4" applyFont="1" applyAlignment="1"/>
    <xf numFmtId="0" fontId="14" fillId="0" borderId="0" xfId="4" applyFont="1" applyFill="1" applyBorder="1" applyAlignment="1"/>
    <xf numFmtId="0" fontId="9" fillId="0" borderId="31" xfId="4" applyFont="1" applyBorder="1"/>
    <xf numFmtId="0" fontId="9" fillId="0" borderId="0" xfId="4" applyFont="1" applyAlignment="1">
      <alignment horizontal="center"/>
    </xf>
    <xf numFmtId="0" fontId="2" fillId="0" borderId="4" xfId="4" applyBorder="1" applyAlignment="1"/>
    <xf numFmtId="0" fontId="2" fillId="0" borderId="4" xfId="4" applyBorder="1"/>
    <xf numFmtId="0" fontId="2" fillId="0" borderId="4" xfId="4" applyBorder="1" applyAlignment="1">
      <alignment horizontal="center"/>
    </xf>
    <xf numFmtId="0" fontId="2" fillId="0" borderId="13" xfId="4" applyBorder="1"/>
    <xf numFmtId="0" fontId="2" fillId="0" borderId="30" xfId="4" applyBorder="1"/>
    <xf numFmtId="0" fontId="9" fillId="0" borderId="0" xfId="4" applyFont="1"/>
    <xf numFmtId="0" fontId="8" fillId="2" borderId="1" xfId="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3" fillId="0" borderId="40" xfId="0" applyFont="1" applyBorder="1" applyAlignment="1" applyProtection="1">
      <alignment horizontal="center" vertical="center"/>
      <protection locked="0" hidden="1"/>
    </xf>
    <xf numFmtId="0" fontId="33" fillId="0" borderId="43" xfId="0" applyFont="1" applyBorder="1" applyAlignment="1" applyProtection="1">
      <alignment horizontal="center" vertical="center"/>
      <protection locked="0" hidden="1"/>
    </xf>
    <xf numFmtId="0" fontId="33" fillId="0" borderId="45" xfId="0" applyFont="1" applyBorder="1" applyAlignment="1" applyProtection="1">
      <alignment horizontal="center" vertical="center"/>
      <protection locked="0" hidden="1"/>
    </xf>
    <xf numFmtId="0" fontId="17" fillId="7" borderId="35" xfId="0" applyFont="1" applyFill="1" applyBorder="1" applyAlignment="1">
      <alignment horizontal="center" vertical="center"/>
    </xf>
    <xf numFmtId="0" fontId="30" fillId="3" borderId="0" xfId="0" applyFont="1" applyFill="1" applyAlignment="1">
      <alignment horizontal="center"/>
    </xf>
    <xf numFmtId="0" fontId="32" fillId="7" borderId="0" xfId="0" applyFont="1" applyFill="1" applyBorder="1" applyAlignment="1" applyProtection="1">
      <alignment horizontal="right" vertical="center"/>
      <protection hidden="1"/>
    </xf>
    <xf numFmtId="0" fontId="32" fillId="20" borderId="0" xfId="0" applyFont="1" applyFill="1" applyBorder="1" applyAlignment="1" applyProtection="1">
      <alignment horizontal="right" vertical="center"/>
      <protection hidden="1"/>
    </xf>
    <xf numFmtId="0" fontId="32" fillId="19" borderId="0" xfId="0" applyFont="1" applyFill="1" applyBorder="1" applyAlignment="1" applyProtection="1">
      <alignment horizontal="right" vertical="center"/>
      <protection hidden="1"/>
    </xf>
    <xf numFmtId="0" fontId="32" fillId="18" borderId="0" xfId="0" applyFont="1" applyFill="1" applyBorder="1" applyAlignment="1" applyProtection="1">
      <alignment horizontal="right" vertical="center"/>
      <protection hidden="1"/>
    </xf>
    <xf numFmtId="0" fontId="30" fillId="17" borderId="0" xfId="0" applyFont="1" applyFill="1" applyAlignment="1">
      <alignment horizontal="center"/>
    </xf>
    <xf numFmtId="0" fontId="16" fillId="5" borderId="0" xfId="0" applyFont="1" applyFill="1" applyAlignment="1" applyProtection="1">
      <alignment horizontal="center" vertical="center"/>
      <protection hidden="1"/>
    </xf>
    <xf numFmtId="0" fontId="16" fillId="5" borderId="44" xfId="0" applyFont="1" applyFill="1" applyBorder="1" applyAlignment="1" applyProtection="1">
      <alignment horizontal="center" vertical="center"/>
      <protection hidden="1"/>
    </xf>
    <xf numFmtId="0" fontId="19" fillId="14" borderId="37" xfId="0" applyFont="1" applyFill="1" applyBorder="1" applyAlignment="1" applyProtection="1">
      <alignment horizontal="center" vertical="center"/>
      <protection hidden="1"/>
    </xf>
    <xf numFmtId="0" fontId="19" fillId="14" borderId="38" xfId="0" applyFont="1" applyFill="1" applyBorder="1" applyAlignment="1" applyProtection="1">
      <alignment horizontal="center" vertical="center"/>
      <protection hidden="1"/>
    </xf>
    <xf numFmtId="0" fontId="19" fillId="14" borderId="39" xfId="0" applyFont="1" applyFill="1" applyBorder="1" applyAlignment="1" applyProtection="1">
      <alignment horizontal="center" vertical="center"/>
      <protection hidden="1"/>
    </xf>
    <xf numFmtId="0" fontId="16" fillId="3" borderId="0" xfId="0" applyFont="1" applyFill="1" applyAlignment="1" applyProtection="1">
      <alignment horizontal="center" vertical="center"/>
      <protection hidden="1"/>
    </xf>
    <xf numFmtId="0" fontId="16" fillId="3" borderId="44" xfId="0" applyFont="1" applyFill="1" applyBorder="1" applyAlignment="1" applyProtection="1">
      <alignment horizontal="center" vertical="center"/>
      <protection hidden="1"/>
    </xf>
    <xf numFmtId="0" fontId="16" fillId="6" borderId="0" xfId="0" applyFont="1" applyFill="1" applyAlignment="1" applyProtection="1">
      <alignment horizontal="center" vertical="center"/>
      <protection hidden="1"/>
    </xf>
    <xf numFmtId="0" fontId="16" fillId="6" borderId="44" xfId="0" applyFont="1" applyFill="1" applyBorder="1" applyAlignment="1" applyProtection="1">
      <alignment horizontal="center" vertical="center"/>
      <protection hidden="1"/>
    </xf>
    <xf numFmtId="0" fontId="16" fillId="9" borderId="0" xfId="0" applyFont="1" applyFill="1" applyAlignment="1" applyProtection="1">
      <alignment horizontal="center" vertical="center"/>
      <protection hidden="1"/>
    </xf>
    <xf numFmtId="0" fontId="16" fillId="9" borderId="44" xfId="0" applyFont="1" applyFill="1" applyBorder="1" applyAlignment="1" applyProtection="1">
      <alignment horizontal="center" vertical="center"/>
      <protection hidden="1"/>
    </xf>
    <xf numFmtId="0" fontId="19" fillId="21" borderId="37" xfId="0" applyFont="1" applyFill="1" applyBorder="1" applyAlignment="1" applyProtection="1">
      <alignment horizontal="center" vertical="center"/>
      <protection hidden="1"/>
    </xf>
    <xf numFmtId="0" fontId="19" fillId="21" borderId="38" xfId="0" applyFont="1" applyFill="1" applyBorder="1" applyAlignment="1" applyProtection="1">
      <alignment horizontal="center" vertical="center"/>
      <protection hidden="1"/>
    </xf>
    <xf numFmtId="0" fontId="19" fillId="21" borderId="39" xfId="0" applyFont="1" applyFill="1" applyBorder="1" applyAlignment="1" applyProtection="1">
      <alignment horizontal="center" vertical="center"/>
      <protection hidden="1"/>
    </xf>
    <xf numFmtId="0" fontId="17" fillId="7" borderId="0" xfId="0" applyFont="1" applyFill="1" applyBorder="1" applyAlignment="1">
      <alignment horizontal="center" vertical="center"/>
    </xf>
    <xf numFmtId="0" fontId="8" fillId="2" borderId="80" xfId="3" applyFont="1" applyFill="1" applyBorder="1" applyAlignment="1">
      <alignment horizontal="center" vertical="center"/>
    </xf>
    <xf numFmtId="0" fontId="8" fillId="2" borderId="79" xfId="3" applyFont="1" applyFill="1" applyBorder="1" applyAlignment="1">
      <alignment horizontal="center" vertical="center"/>
    </xf>
    <xf numFmtId="0" fontId="8" fillId="2" borderId="78" xfId="3" applyFont="1" applyFill="1" applyBorder="1" applyAlignment="1">
      <alignment horizontal="center" vertical="center"/>
    </xf>
    <xf numFmtId="0" fontId="8" fillId="2" borderId="80" xfId="3" quotePrefix="1" applyFont="1" applyFill="1" applyBorder="1" applyAlignment="1">
      <alignment horizontal="center" vertical="center"/>
    </xf>
    <xf numFmtId="0" fontId="8" fillId="2" borderId="79" xfId="3" quotePrefix="1" applyFont="1" applyFill="1" applyBorder="1" applyAlignment="1">
      <alignment horizontal="center" vertical="center"/>
    </xf>
    <xf numFmtId="0" fontId="8" fillId="2" borderId="78" xfId="3" quotePrefix="1" applyFont="1" applyFill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3" xfId="3" applyFont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11" fillId="0" borderId="80" xfId="3" applyFont="1" applyFill="1" applyBorder="1" applyAlignment="1">
      <alignment horizontal="center" vertical="center"/>
    </xf>
    <xf numFmtId="0" fontId="11" fillId="0" borderId="79" xfId="3" applyFont="1" applyFill="1" applyBorder="1" applyAlignment="1">
      <alignment horizontal="center" vertical="center"/>
    </xf>
    <xf numFmtId="0" fontId="11" fillId="0" borderId="78" xfId="3" applyFont="1" applyFill="1" applyBorder="1" applyAlignment="1">
      <alignment horizontal="center" vertical="center"/>
    </xf>
    <xf numFmtId="0" fontId="0" fillId="0" borderId="74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0" xfId="0" applyBorder="1" applyAlignment="1">
      <alignment horizontal="center"/>
    </xf>
    <xf numFmtId="0" fontId="10" fillId="0" borderId="19" xfId="3" applyFont="1" applyBorder="1" applyAlignment="1">
      <alignment horizontal="center" vertical="center"/>
    </xf>
    <xf numFmtId="0" fontId="10" fillId="0" borderId="20" xfId="3" applyFont="1" applyBorder="1" applyAlignment="1">
      <alignment horizontal="center" vertical="center"/>
    </xf>
    <xf numFmtId="0" fontId="10" fillId="0" borderId="2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0" fillId="0" borderId="22" xfId="3" applyFont="1" applyBorder="1" applyAlignment="1">
      <alignment horizontal="center" vertical="center"/>
    </xf>
    <xf numFmtId="0" fontId="10" fillId="0" borderId="23" xfId="3" applyFont="1" applyBorder="1" applyAlignment="1">
      <alignment horizontal="center" vertical="center"/>
    </xf>
    <xf numFmtId="0" fontId="10" fillId="0" borderId="24" xfId="3" applyFont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2" xfId="0" applyBorder="1" applyAlignment="1">
      <alignment horizontal="center"/>
    </xf>
    <xf numFmtId="0" fontId="9" fillId="0" borderId="77" xfId="3" applyFont="1" applyBorder="1" applyAlignment="1">
      <alignment horizontal="center"/>
    </xf>
    <xf numFmtId="0" fontId="9" fillId="0" borderId="79" xfId="3" applyFont="1" applyBorder="1" applyAlignment="1">
      <alignment horizontal="center"/>
    </xf>
    <xf numFmtId="0" fontId="9" fillId="0" borderId="78" xfId="3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1" fillId="0" borderId="80" xfId="0" applyFont="1" applyFill="1" applyBorder="1" applyAlignment="1">
      <alignment horizontal="center" vertical="center"/>
    </xf>
    <xf numFmtId="0" fontId="11" fillId="0" borderId="79" xfId="0" applyFont="1" applyFill="1" applyBorder="1" applyAlignment="1">
      <alignment horizontal="center" vertical="center"/>
    </xf>
    <xf numFmtId="0" fontId="11" fillId="0" borderId="78" xfId="0" applyFont="1" applyFill="1" applyBorder="1" applyAlignment="1">
      <alignment horizontal="center" vertical="center"/>
    </xf>
    <xf numFmtId="0" fontId="8" fillId="2" borderId="80" xfId="0" applyFont="1" applyFill="1" applyBorder="1" applyAlignment="1">
      <alignment horizontal="center" vertical="center"/>
    </xf>
    <xf numFmtId="0" fontId="8" fillId="2" borderId="79" xfId="0" applyFont="1" applyFill="1" applyBorder="1" applyAlignment="1">
      <alignment horizontal="center" vertical="center"/>
    </xf>
    <xf numFmtId="0" fontId="8" fillId="2" borderId="78" xfId="0" applyFont="1" applyFill="1" applyBorder="1" applyAlignment="1">
      <alignment horizontal="center" vertical="center"/>
    </xf>
    <xf numFmtId="0" fontId="8" fillId="2" borderId="80" xfId="0" quotePrefix="1" applyFont="1" applyFill="1" applyBorder="1" applyAlignment="1">
      <alignment horizontal="center" vertical="center"/>
    </xf>
    <xf numFmtId="0" fontId="8" fillId="2" borderId="79" xfId="0" quotePrefix="1" applyFont="1" applyFill="1" applyBorder="1" applyAlignment="1">
      <alignment horizontal="center" vertical="center"/>
    </xf>
    <xf numFmtId="0" fontId="8" fillId="2" borderId="78" xfId="0" quotePrefix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9" fillId="0" borderId="77" xfId="0" applyFont="1" applyBorder="1" applyAlignment="1">
      <alignment horizontal="center"/>
    </xf>
    <xf numFmtId="0" fontId="9" fillId="0" borderId="79" xfId="0" applyFont="1" applyBorder="1" applyAlignment="1">
      <alignment horizontal="center"/>
    </xf>
    <xf numFmtId="0" fontId="9" fillId="0" borderId="78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58" xfId="0" applyBorder="1" applyAlignment="1">
      <alignment horizontal="center"/>
    </xf>
  </cellXfs>
  <cellStyles count="6">
    <cellStyle name="Ezres" xfId="2" builtinId="3"/>
    <cellStyle name="Normál" xfId="0" builtinId="0"/>
    <cellStyle name="Normál 2" xfId="1"/>
    <cellStyle name="Normál 2 2" xfId="3"/>
    <cellStyle name="Normál 3" xfId="4"/>
    <cellStyle name="Normál 4" xfId="5"/>
  </cellStyles>
  <dxfs count="138"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ont>
        <b/>
        <i val="0"/>
      </font>
      <numFmt numFmtId="165" formatCode="\(General\)"/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5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5" formatCode="\(General\)"/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able!A20:A28"/><Relationship Id="rId13" Type="http://schemas.openxmlformats.org/officeDocument/2006/relationships/hyperlink" Target="#'Gr. B'!A1"/><Relationship Id="rId18" Type="http://schemas.openxmlformats.org/officeDocument/2006/relationships/hyperlink" Target="#Master!A1"/><Relationship Id="rId26" Type="http://schemas.openxmlformats.org/officeDocument/2006/relationships/hyperlink" Target="#'Gr. E+'!A1"/><Relationship Id="rId3" Type="http://schemas.openxmlformats.org/officeDocument/2006/relationships/hyperlink" Target="#'09-10'!A7"/><Relationship Id="rId21" Type="http://schemas.openxmlformats.org/officeDocument/2006/relationships/hyperlink" Target="#'2ndB'!A1"/><Relationship Id="rId7" Type="http://schemas.openxmlformats.org/officeDocument/2006/relationships/hyperlink" Target="#Table!A9:A18"/><Relationship Id="rId12" Type="http://schemas.openxmlformats.org/officeDocument/2006/relationships/hyperlink" Target="#'Gr. A'!A1"/><Relationship Id="rId17" Type="http://schemas.openxmlformats.org/officeDocument/2006/relationships/hyperlink" Target="#'Gr. F'!A1"/><Relationship Id="rId25" Type="http://schemas.openxmlformats.org/officeDocument/2006/relationships/hyperlink" Target="#'Gr. D+'!A1"/><Relationship Id="rId2" Type="http://schemas.openxmlformats.org/officeDocument/2006/relationships/hyperlink" Target="#'10-11'!A7"/><Relationship Id="rId16" Type="http://schemas.openxmlformats.org/officeDocument/2006/relationships/hyperlink" Target="#'Gr. E'!A1"/><Relationship Id="rId20" Type="http://schemas.openxmlformats.org/officeDocument/2006/relationships/hyperlink" Target="#'2ndA'!A1"/><Relationship Id="rId29" Type="http://schemas.openxmlformats.org/officeDocument/2006/relationships/hyperlink" Target="#'Super+'!A1"/><Relationship Id="rId1" Type="http://schemas.openxmlformats.org/officeDocument/2006/relationships/hyperlink" Target="#'11-12'!A7"/><Relationship Id="rId6" Type="http://schemas.openxmlformats.org/officeDocument/2006/relationships/hyperlink" Target="#'Knockout Paprika'!A1"/><Relationship Id="rId11" Type="http://schemas.openxmlformats.org/officeDocument/2006/relationships/hyperlink" Target="#Table!A53:A61"/><Relationship Id="rId24" Type="http://schemas.openxmlformats.org/officeDocument/2006/relationships/hyperlink" Target="#'Gr. C+'!A1"/><Relationship Id="rId5" Type="http://schemas.openxmlformats.org/officeDocument/2006/relationships/hyperlink" Target="#Knockout!A1"/><Relationship Id="rId15" Type="http://schemas.openxmlformats.org/officeDocument/2006/relationships/hyperlink" Target="#'Gr. D'!A1"/><Relationship Id="rId23" Type="http://schemas.openxmlformats.org/officeDocument/2006/relationships/hyperlink" Target="#'Gr. B+'!A1"/><Relationship Id="rId28" Type="http://schemas.openxmlformats.org/officeDocument/2006/relationships/hyperlink" Target="#'Master+'!A1"/><Relationship Id="rId10" Type="http://schemas.openxmlformats.org/officeDocument/2006/relationships/hyperlink" Target="#Table!A43:A51"/><Relationship Id="rId19" Type="http://schemas.openxmlformats.org/officeDocument/2006/relationships/hyperlink" Target="#Super!A1"/><Relationship Id="rId31" Type="http://schemas.openxmlformats.org/officeDocument/2006/relationships/hyperlink" Target="#'2ndB+'!A1"/><Relationship Id="rId4" Type="http://schemas.openxmlformats.org/officeDocument/2006/relationships/hyperlink" Target="#'08-09'!A7"/><Relationship Id="rId9" Type="http://schemas.openxmlformats.org/officeDocument/2006/relationships/hyperlink" Target="#Table!A30:A38"/><Relationship Id="rId14" Type="http://schemas.openxmlformats.org/officeDocument/2006/relationships/hyperlink" Target="#'Gr. C'!A1"/><Relationship Id="rId22" Type="http://schemas.openxmlformats.org/officeDocument/2006/relationships/hyperlink" Target="#'Gr. A+'!A1"/><Relationship Id="rId27" Type="http://schemas.openxmlformats.org/officeDocument/2006/relationships/hyperlink" Target="#'Gr. F+'!A1"/><Relationship Id="rId30" Type="http://schemas.openxmlformats.org/officeDocument/2006/relationships/hyperlink" Target="#'2ndA+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750093</xdr:colOff>
      <xdr:row>1</xdr:row>
      <xdr:rowOff>18574</xdr:rowOff>
    </xdr:from>
    <xdr:to>
      <xdr:col>16</xdr:col>
      <xdr:colOff>1293017</xdr:colOff>
      <xdr:row>1</xdr:row>
      <xdr:rowOff>218599</xdr:rowOff>
    </xdr:to>
    <xdr:sp macro="" textlink="">
      <xdr:nvSpPr>
        <xdr:cNvPr id="2" name="Lekerekített téglalap 1">
          <a:hlinkClick xmlns:r="http://schemas.openxmlformats.org/officeDocument/2006/relationships" r:id="rId1" tooltip="Season 2011/2012"/>
        </xdr:cNvPr>
        <xdr:cNvSpPr/>
      </xdr:nvSpPr>
      <xdr:spPr>
        <a:xfrm>
          <a:off x="8888253" y="947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11/12</a:t>
          </a:r>
        </a:p>
      </xdr:txBody>
    </xdr:sp>
    <xdr:clientData/>
  </xdr:twoCellAnchor>
  <xdr:twoCellAnchor>
    <xdr:from>
      <xdr:col>16</xdr:col>
      <xdr:colOff>750093</xdr:colOff>
      <xdr:row>2</xdr:row>
      <xdr:rowOff>18574</xdr:rowOff>
    </xdr:from>
    <xdr:to>
      <xdr:col>16</xdr:col>
      <xdr:colOff>1293017</xdr:colOff>
      <xdr:row>2</xdr:row>
      <xdr:rowOff>218599</xdr:rowOff>
    </xdr:to>
    <xdr:sp macro="" textlink="">
      <xdr:nvSpPr>
        <xdr:cNvPr id="3" name="Lekerekített téglalap 2">
          <a:hlinkClick xmlns:r="http://schemas.openxmlformats.org/officeDocument/2006/relationships" r:id="rId2" tooltip="Season 2010/2011"/>
        </xdr:cNvPr>
        <xdr:cNvSpPr/>
      </xdr:nvSpPr>
      <xdr:spPr>
        <a:xfrm>
          <a:off x="8888253" y="3995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10/11</a:t>
          </a:r>
        </a:p>
      </xdr:txBody>
    </xdr:sp>
    <xdr:clientData/>
  </xdr:twoCellAnchor>
  <xdr:twoCellAnchor>
    <xdr:from>
      <xdr:col>16</xdr:col>
      <xdr:colOff>750093</xdr:colOff>
      <xdr:row>3</xdr:row>
      <xdr:rowOff>18574</xdr:rowOff>
    </xdr:from>
    <xdr:to>
      <xdr:col>16</xdr:col>
      <xdr:colOff>1293017</xdr:colOff>
      <xdr:row>3</xdr:row>
      <xdr:rowOff>218599</xdr:rowOff>
    </xdr:to>
    <xdr:sp macro="" textlink="">
      <xdr:nvSpPr>
        <xdr:cNvPr id="4" name="Lekerekített téglalap 3">
          <a:hlinkClick xmlns:r="http://schemas.openxmlformats.org/officeDocument/2006/relationships" r:id="rId3" tooltip="Season 2009/2010"/>
        </xdr:cNvPr>
        <xdr:cNvSpPr/>
      </xdr:nvSpPr>
      <xdr:spPr>
        <a:xfrm>
          <a:off x="8888253" y="7043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5" name="Lekerekített téglalap 4">
          <a:hlinkClick xmlns:r="http://schemas.openxmlformats.org/officeDocument/2006/relationships" r:id="rId4" tooltip="Season 2008/2009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08/09</a:t>
          </a:r>
        </a:p>
      </xdr:txBody>
    </xdr:sp>
    <xdr:clientData/>
  </xdr:twoCellAnchor>
  <xdr:twoCellAnchor>
    <xdr:from>
      <xdr:col>4</xdr:col>
      <xdr:colOff>152400</xdr:colOff>
      <xdr:row>1</xdr:row>
      <xdr:rowOff>53340</xdr:rowOff>
    </xdr:from>
    <xdr:to>
      <xdr:col>8</xdr:col>
      <xdr:colOff>312420</xdr:colOff>
      <xdr:row>1</xdr:row>
      <xdr:rowOff>247650</xdr:rowOff>
    </xdr:to>
    <xdr:sp macro="" textlink="">
      <xdr:nvSpPr>
        <xdr:cNvPr id="6" name="Lekerekített téglalap 5">
          <a:hlinkClick xmlns:r="http://schemas.openxmlformats.org/officeDocument/2006/relationships" r:id="rId5" tooltip="Group C"/>
        </xdr:cNvPr>
        <xdr:cNvSpPr/>
      </xdr:nvSpPr>
      <xdr:spPr>
        <a:xfrm>
          <a:off x="2743200" y="129540"/>
          <a:ext cx="1744980" cy="194310"/>
        </a:xfrm>
        <a:prstGeom prst="roundRect">
          <a:avLst/>
        </a:prstGeom>
        <a:solidFill>
          <a:schemeClr val="accent6">
            <a:lumMod val="75000"/>
          </a:schemeClr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Main Knockout stage</a:t>
          </a:r>
        </a:p>
      </xdr:txBody>
    </xdr:sp>
    <xdr:clientData/>
  </xdr:twoCellAnchor>
  <xdr:twoCellAnchor>
    <xdr:from>
      <xdr:col>9</xdr:col>
      <xdr:colOff>0</xdr:colOff>
      <xdr:row>1</xdr:row>
      <xdr:rowOff>53340</xdr:rowOff>
    </xdr:from>
    <xdr:to>
      <xdr:col>13</xdr:col>
      <xdr:colOff>304800</xdr:colOff>
      <xdr:row>1</xdr:row>
      <xdr:rowOff>247650</xdr:rowOff>
    </xdr:to>
    <xdr:sp macro="" textlink="">
      <xdr:nvSpPr>
        <xdr:cNvPr id="7" name="Lekerekített téglalap 6">
          <a:hlinkClick xmlns:r="http://schemas.openxmlformats.org/officeDocument/2006/relationships" r:id="rId6" tooltip="Group C"/>
        </xdr:cNvPr>
        <xdr:cNvSpPr/>
      </xdr:nvSpPr>
      <xdr:spPr>
        <a:xfrm>
          <a:off x="4572000" y="129540"/>
          <a:ext cx="1729740" cy="19431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Paprika Knockout stage</a:t>
          </a:r>
        </a:p>
      </xdr:txBody>
    </xdr:sp>
    <xdr:clientData/>
  </xdr:twoCellAnchor>
  <xdr:twoCellAnchor>
    <xdr:from>
      <xdr:col>4</xdr:col>
      <xdr:colOff>160020</xdr:colOff>
      <xdr:row>2</xdr:row>
      <xdr:rowOff>53341</xdr:rowOff>
    </xdr:from>
    <xdr:to>
      <xdr:col>5</xdr:col>
      <xdr:colOff>228600</xdr:colOff>
      <xdr:row>2</xdr:row>
      <xdr:rowOff>251461</xdr:rowOff>
    </xdr:to>
    <xdr:sp macro="" textlink="">
      <xdr:nvSpPr>
        <xdr:cNvPr id="8" name="Lekerekített téglalap 7">
          <a:hlinkClick xmlns:r="http://schemas.openxmlformats.org/officeDocument/2006/relationships" r:id="rId7" tooltip="Group A"/>
        </xdr:cNvPr>
        <xdr:cNvSpPr/>
      </xdr:nvSpPr>
      <xdr:spPr>
        <a:xfrm>
          <a:off x="2750820" y="43434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289560</xdr:colOff>
      <xdr:row>2</xdr:row>
      <xdr:rowOff>53340</xdr:rowOff>
    </xdr:from>
    <xdr:to>
      <xdr:col>6</xdr:col>
      <xdr:colOff>358140</xdr:colOff>
      <xdr:row>2</xdr:row>
      <xdr:rowOff>251460</xdr:rowOff>
    </xdr:to>
    <xdr:sp macro="" textlink="">
      <xdr:nvSpPr>
        <xdr:cNvPr id="9" name="Lekerekített téglalap 8">
          <a:hlinkClick xmlns:r="http://schemas.openxmlformats.org/officeDocument/2006/relationships" r:id="rId7" tooltip="Group A"/>
        </xdr:cNvPr>
        <xdr:cNvSpPr/>
      </xdr:nvSpPr>
      <xdr:spPr>
        <a:xfrm>
          <a:off x="32766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0</xdr:colOff>
      <xdr:row>2</xdr:row>
      <xdr:rowOff>53340</xdr:rowOff>
    </xdr:from>
    <xdr:to>
      <xdr:col>8</xdr:col>
      <xdr:colOff>68580</xdr:colOff>
      <xdr:row>2</xdr:row>
      <xdr:rowOff>251460</xdr:rowOff>
    </xdr:to>
    <xdr:sp macro="" textlink="">
      <xdr:nvSpPr>
        <xdr:cNvPr id="10" name="Lekerekített téglalap 9">
          <a:hlinkClick xmlns:r="http://schemas.openxmlformats.org/officeDocument/2006/relationships" r:id="rId8" tooltip="Group A"/>
        </xdr:cNvPr>
        <xdr:cNvSpPr/>
      </xdr:nvSpPr>
      <xdr:spPr>
        <a:xfrm>
          <a:off x="377952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129540</xdr:colOff>
      <xdr:row>2</xdr:row>
      <xdr:rowOff>53340</xdr:rowOff>
    </xdr:from>
    <xdr:to>
      <xdr:col>9</xdr:col>
      <xdr:colOff>198120</xdr:colOff>
      <xdr:row>2</xdr:row>
      <xdr:rowOff>251460</xdr:rowOff>
    </xdr:to>
    <xdr:sp macro="" textlink="">
      <xdr:nvSpPr>
        <xdr:cNvPr id="11" name="Lekerekített téglalap 10">
          <a:hlinkClick xmlns:r="http://schemas.openxmlformats.org/officeDocument/2006/relationships" r:id="rId8" tooltip="Group A"/>
        </xdr:cNvPr>
        <xdr:cNvSpPr/>
      </xdr:nvSpPr>
      <xdr:spPr>
        <a:xfrm>
          <a:off x="43053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259080</xdr:colOff>
      <xdr:row>2</xdr:row>
      <xdr:rowOff>53340</xdr:rowOff>
    </xdr:from>
    <xdr:to>
      <xdr:col>10</xdr:col>
      <xdr:colOff>327660</xdr:colOff>
      <xdr:row>2</xdr:row>
      <xdr:rowOff>251460</xdr:rowOff>
    </xdr:to>
    <xdr:sp macro="" textlink="">
      <xdr:nvSpPr>
        <xdr:cNvPr id="12" name="Lekerekített téglalap 11">
          <a:hlinkClick xmlns:r="http://schemas.openxmlformats.org/officeDocument/2006/relationships" r:id="rId9" tooltip="Group A"/>
        </xdr:cNvPr>
        <xdr:cNvSpPr/>
      </xdr:nvSpPr>
      <xdr:spPr>
        <a:xfrm>
          <a:off x="483108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10</xdr:col>
      <xdr:colOff>388620</xdr:colOff>
      <xdr:row>2</xdr:row>
      <xdr:rowOff>45720</xdr:rowOff>
    </xdr:from>
    <xdr:to>
      <xdr:col>12</xdr:col>
      <xdr:colOff>129540</xdr:colOff>
      <xdr:row>2</xdr:row>
      <xdr:rowOff>243840</xdr:rowOff>
    </xdr:to>
    <xdr:sp macro="" textlink="">
      <xdr:nvSpPr>
        <xdr:cNvPr id="13" name="Lekerekített téglalap 12">
          <a:hlinkClick xmlns:r="http://schemas.openxmlformats.org/officeDocument/2006/relationships" r:id="rId9" tooltip="Group A"/>
        </xdr:cNvPr>
        <xdr:cNvSpPr/>
      </xdr:nvSpPr>
      <xdr:spPr>
        <a:xfrm>
          <a:off x="5356860" y="4267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198120</xdr:colOff>
      <xdr:row>2</xdr:row>
      <xdr:rowOff>53341</xdr:rowOff>
    </xdr:from>
    <xdr:to>
      <xdr:col>13</xdr:col>
      <xdr:colOff>487680</xdr:colOff>
      <xdr:row>2</xdr:row>
      <xdr:rowOff>251461</xdr:rowOff>
    </xdr:to>
    <xdr:sp macro="" textlink="">
      <xdr:nvSpPr>
        <xdr:cNvPr id="14" name="Lekerekített téglalap 13">
          <a:hlinkClick xmlns:r="http://schemas.openxmlformats.org/officeDocument/2006/relationships" r:id="rId10" tooltip="Group A"/>
        </xdr:cNvPr>
        <xdr:cNvSpPr/>
      </xdr:nvSpPr>
      <xdr:spPr>
        <a:xfrm>
          <a:off x="5890260" y="43434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541020</xdr:colOff>
      <xdr:row>2</xdr:row>
      <xdr:rowOff>53340</xdr:rowOff>
    </xdr:from>
    <xdr:to>
      <xdr:col>13</xdr:col>
      <xdr:colOff>1135380</xdr:colOff>
      <xdr:row>2</xdr:row>
      <xdr:rowOff>251460</xdr:rowOff>
    </xdr:to>
    <xdr:sp macro="" textlink="">
      <xdr:nvSpPr>
        <xdr:cNvPr id="15" name="Lekerekített téglalap 14">
          <a:hlinkClick xmlns:r="http://schemas.openxmlformats.org/officeDocument/2006/relationships" r:id="rId10" tooltip="Group A"/>
        </xdr:cNvPr>
        <xdr:cNvSpPr/>
      </xdr:nvSpPr>
      <xdr:spPr>
        <a:xfrm>
          <a:off x="6537960" y="43434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1188720</xdr:colOff>
      <xdr:row>2</xdr:row>
      <xdr:rowOff>53340</xdr:rowOff>
    </xdr:from>
    <xdr:to>
      <xdr:col>14</xdr:col>
      <xdr:colOff>83820</xdr:colOff>
      <xdr:row>2</xdr:row>
      <xdr:rowOff>251460</xdr:rowOff>
    </xdr:to>
    <xdr:sp macro="" textlink="">
      <xdr:nvSpPr>
        <xdr:cNvPr id="16" name="Lekerekített téglalap 15">
          <a:hlinkClick xmlns:r="http://schemas.openxmlformats.org/officeDocument/2006/relationships" r:id="rId11" tooltip="Group A"/>
        </xdr:cNvPr>
        <xdr:cNvSpPr/>
      </xdr:nvSpPr>
      <xdr:spPr>
        <a:xfrm>
          <a:off x="71856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137160</xdr:colOff>
      <xdr:row>2</xdr:row>
      <xdr:rowOff>53340</xdr:rowOff>
    </xdr:from>
    <xdr:to>
      <xdr:col>15</xdr:col>
      <xdr:colOff>335280</xdr:colOff>
      <xdr:row>2</xdr:row>
      <xdr:rowOff>251460</xdr:rowOff>
    </xdr:to>
    <xdr:sp macro="" textlink="">
      <xdr:nvSpPr>
        <xdr:cNvPr id="17" name="Lekerekített téglalap 16">
          <a:hlinkClick xmlns:r="http://schemas.openxmlformats.org/officeDocument/2006/relationships" r:id="rId11" tooltip="Group A"/>
        </xdr:cNvPr>
        <xdr:cNvSpPr/>
      </xdr:nvSpPr>
      <xdr:spPr>
        <a:xfrm>
          <a:off x="78333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4</xdr:col>
      <xdr:colOff>167640</xdr:colOff>
      <xdr:row>3</xdr:row>
      <xdr:rowOff>45721</xdr:rowOff>
    </xdr:from>
    <xdr:to>
      <xdr:col>5</xdr:col>
      <xdr:colOff>236220</xdr:colOff>
      <xdr:row>3</xdr:row>
      <xdr:rowOff>243841</xdr:rowOff>
    </xdr:to>
    <xdr:sp macro="" textlink="">
      <xdr:nvSpPr>
        <xdr:cNvPr id="22" name="Lekerekített téglalap 21">
          <a:hlinkClick xmlns:r="http://schemas.openxmlformats.org/officeDocument/2006/relationships" r:id="rId12" tooltip="Group A"/>
        </xdr:cNvPr>
        <xdr:cNvSpPr/>
      </xdr:nvSpPr>
      <xdr:spPr>
        <a:xfrm>
          <a:off x="2758440" y="7315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3</xdr:row>
      <xdr:rowOff>45720</xdr:rowOff>
    </xdr:from>
    <xdr:to>
      <xdr:col>6</xdr:col>
      <xdr:colOff>365760</xdr:colOff>
      <xdr:row>3</xdr:row>
      <xdr:rowOff>243840</xdr:rowOff>
    </xdr:to>
    <xdr:sp macro="" textlink="">
      <xdr:nvSpPr>
        <xdr:cNvPr id="23" name="Lekerekített téglalap 22">
          <a:hlinkClick xmlns:r="http://schemas.openxmlformats.org/officeDocument/2006/relationships" r:id="rId13" tooltip="Group A"/>
        </xdr:cNvPr>
        <xdr:cNvSpPr/>
      </xdr:nvSpPr>
      <xdr:spPr>
        <a:xfrm>
          <a:off x="32842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3</xdr:row>
      <xdr:rowOff>45720</xdr:rowOff>
    </xdr:from>
    <xdr:to>
      <xdr:col>8</xdr:col>
      <xdr:colOff>76200</xdr:colOff>
      <xdr:row>3</xdr:row>
      <xdr:rowOff>243840</xdr:rowOff>
    </xdr:to>
    <xdr:sp macro="" textlink="">
      <xdr:nvSpPr>
        <xdr:cNvPr id="24" name="Lekerekített téglalap 23">
          <a:hlinkClick xmlns:r="http://schemas.openxmlformats.org/officeDocument/2006/relationships" r:id="rId14" tooltip="Group A"/>
        </xdr:cNvPr>
        <xdr:cNvSpPr/>
      </xdr:nvSpPr>
      <xdr:spPr>
        <a:xfrm>
          <a:off x="378714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3</xdr:row>
      <xdr:rowOff>45720</xdr:rowOff>
    </xdr:from>
    <xdr:to>
      <xdr:col>9</xdr:col>
      <xdr:colOff>205740</xdr:colOff>
      <xdr:row>3</xdr:row>
      <xdr:rowOff>243840</xdr:rowOff>
    </xdr:to>
    <xdr:sp macro="" textlink="">
      <xdr:nvSpPr>
        <xdr:cNvPr id="25" name="Lekerekített téglalap 24">
          <a:hlinkClick xmlns:r="http://schemas.openxmlformats.org/officeDocument/2006/relationships" r:id="rId15" tooltip="Group A"/>
        </xdr:cNvPr>
        <xdr:cNvSpPr/>
      </xdr:nvSpPr>
      <xdr:spPr>
        <a:xfrm>
          <a:off x="43129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3</xdr:row>
      <xdr:rowOff>45720</xdr:rowOff>
    </xdr:from>
    <xdr:to>
      <xdr:col>10</xdr:col>
      <xdr:colOff>335280</xdr:colOff>
      <xdr:row>3</xdr:row>
      <xdr:rowOff>243840</xdr:rowOff>
    </xdr:to>
    <xdr:sp macro="" textlink="">
      <xdr:nvSpPr>
        <xdr:cNvPr id="26" name="Lekerekített téglalap 25">
          <a:hlinkClick xmlns:r="http://schemas.openxmlformats.org/officeDocument/2006/relationships" r:id="rId16" tooltip="Group A"/>
        </xdr:cNvPr>
        <xdr:cNvSpPr/>
      </xdr:nvSpPr>
      <xdr:spPr>
        <a:xfrm>
          <a:off x="483870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3</xdr:row>
      <xdr:rowOff>38100</xdr:rowOff>
    </xdr:from>
    <xdr:to>
      <xdr:col>12</xdr:col>
      <xdr:colOff>137160</xdr:colOff>
      <xdr:row>3</xdr:row>
      <xdr:rowOff>236220</xdr:rowOff>
    </xdr:to>
    <xdr:sp macro="" textlink="">
      <xdr:nvSpPr>
        <xdr:cNvPr id="27" name="Lekerekített téglalap 26">
          <a:hlinkClick xmlns:r="http://schemas.openxmlformats.org/officeDocument/2006/relationships" r:id="rId17" tooltip="Group A"/>
        </xdr:cNvPr>
        <xdr:cNvSpPr/>
      </xdr:nvSpPr>
      <xdr:spPr>
        <a:xfrm>
          <a:off x="5364480" y="7239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3</xdr:row>
      <xdr:rowOff>45721</xdr:rowOff>
    </xdr:from>
    <xdr:to>
      <xdr:col>13</xdr:col>
      <xdr:colOff>495300</xdr:colOff>
      <xdr:row>3</xdr:row>
      <xdr:rowOff>243841</xdr:rowOff>
    </xdr:to>
    <xdr:sp macro="" textlink="">
      <xdr:nvSpPr>
        <xdr:cNvPr id="28" name="Lekerekített téglalap 27">
          <a:hlinkClick xmlns:r="http://schemas.openxmlformats.org/officeDocument/2006/relationships" r:id="rId18" tooltip="Group A"/>
        </xdr:cNvPr>
        <xdr:cNvSpPr/>
      </xdr:nvSpPr>
      <xdr:spPr>
        <a:xfrm>
          <a:off x="5897880" y="7315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3</xdr:row>
      <xdr:rowOff>45720</xdr:rowOff>
    </xdr:from>
    <xdr:to>
      <xdr:col>13</xdr:col>
      <xdr:colOff>1143000</xdr:colOff>
      <xdr:row>3</xdr:row>
      <xdr:rowOff>243840</xdr:rowOff>
    </xdr:to>
    <xdr:sp macro="" textlink="">
      <xdr:nvSpPr>
        <xdr:cNvPr id="29" name="Lekerekített téglalap 28">
          <a:hlinkClick xmlns:r="http://schemas.openxmlformats.org/officeDocument/2006/relationships" r:id="rId19" tooltip="Group A"/>
        </xdr:cNvPr>
        <xdr:cNvSpPr/>
      </xdr:nvSpPr>
      <xdr:spPr>
        <a:xfrm>
          <a:off x="6545580" y="7315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3</xdr:row>
      <xdr:rowOff>45720</xdr:rowOff>
    </xdr:from>
    <xdr:to>
      <xdr:col>14</xdr:col>
      <xdr:colOff>91440</xdr:colOff>
      <xdr:row>3</xdr:row>
      <xdr:rowOff>243840</xdr:rowOff>
    </xdr:to>
    <xdr:sp macro="" textlink="">
      <xdr:nvSpPr>
        <xdr:cNvPr id="30" name="Lekerekített téglalap 29">
          <a:hlinkClick xmlns:r="http://schemas.openxmlformats.org/officeDocument/2006/relationships" r:id="rId20" tooltip="Group A"/>
        </xdr:cNvPr>
        <xdr:cNvSpPr/>
      </xdr:nvSpPr>
      <xdr:spPr>
        <a:xfrm>
          <a:off x="71932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3</xdr:row>
      <xdr:rowOff>45720</xdr:rowOff>
    </xdr:from>
    <xdr:to>
      <xdr:col>15</xdr:col>
      <xdr:colOff>342900</xdr:colOff>
      <xdr:row>3</xdr:row>
      <xdr:rowOff>243840</xdr:rowOff>
    </xdr:to>
    <xdr:sp macro="" textlink="">
      <xdr:nvSpPr>
        <xdr:cNvPr id="31" name="Lekerekített téglalap 30">
          <a:hlinkClick xmlns:r="http://schemas.openxmlformats.org/officeDocument/2006/relationships" r:id="rId21" tooltip="Group A"/>
        </xdr:cNvPr>
        <xdr:cNvSpPr/>
      </xdr:nvSpPr>
      <xdr:spPr>
        <a:xfrm>
          <a:off x="78409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36" name="Lekerekített téglalap 35">
          <a:hlinkClick xmlns:r="http://schemas.openxmlformats.org/officeDocument/2006/relationships" r:id="rId3" tooltip="Season 2009/2010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4</xdr:col>
      <xdr:colOff>167640</xdr:colOff>
      <xdr:row>4</xdr:row>
      <xdr:rowOff>45721</xdr:rowOff>
    </xdr:from>
    <xdr:to>
      <xdr:col>5</xdr:col>
      <xdr:colOff>236220</xdr:colOff>
      <xdr:row>4</xdr:row>
      <xdr:rowOff>243841</xdr:rowOff>
    </xdr:to>
    <xdr:sp macro="" textlink="">
      <xdr:nvSpPr>
        <xdr:cNvPr id="37" name="Lekerekített téglalap 36">
          <a:hlinkClick xmlns:r="http://schemas.openxmlformats.org/officeDocument/2006/relationships" r:id="rId22" tooltip="Group A"/>
        </xdr:cNvPr>
        <xdr:cNvSpPr/>
      </xdr:nvSpPr>
      <xdr:spPr>
        <a:xfrm>
          <a:off x="2758440" y="10363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4</xdr:row>
      <xdr:rowOff>45720</xdr:rowOff>
    </xdr:from>
    <xdr:to>
      <xdr:col>6</xdr:col>
      <xdr:colOff>365760</xdr:colOff>
      <xdr:row>4</xdr:row>
      <xdr:rowOff>243840</xdr:rowOff>
    </xdr:to>
    <xdr:sp macro="" textlink="">
      <xdr:nvSpPr>
        <xdr:cNvPr id="38" name="Lekerekített téglalap 37">
          <a:hlinkClick xmlns:r="http://schemas.openxmlformats.org/officeDocument/2006/relationships" r:id="rId23" tooltip="Group A"/>
        </xdr:cNvPr>
        <xdr:cNvSpPr/>
      </xdr:nvSpPr>
      <xdr:spPr>
        <a:xfrm>
          <a:off x="32842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4</xdr:row>
      <xdr:rowOff>45720</xdr:rowOff>
    </xdr:from>
    <xdr:to>
      <xdr:col>8</xdr:col>
      <xdr:colOff>76200</xdr:colOff>
      <xdr:row>4</xdr:row>
      <xdr:rowOff>243840</xdr:rowOff>
    </xdr:to>
    <xdr:sp macro="" textlink="">
      <xdr:nvSpPr>
        <xdr:cNvPr id="39" name="Lekerekített téglalap 38">
          <a:hlinkClick xmlns:r="http://schemas.openxmlformats.org/officeDocument/2006/relationships" r:id="rId24" tooltip="Group A"/>
        </xdr:cNvPr>
        <xdr:cNvSpPr/>
      </xdr:nvSpPr>
      <xdr:spPr>
        <a:xfrm>
          <a:off x="378714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4</xdr:row>
      <xdr:rowOff>45720</xdr:rowOff>
    </xdr:from>
    <xdr:to>
      <xdr:col>9</xdr:col>
      <xdr:colOff>205740</xdr:colOff>
      <xdr:row>4</xdr:row>
      <xdr:rowOff>243840</xdr:rowOff>
    </xdr:to>
    <xdr:sp macro="" textlink="">
      <xdr:nvSpPr>
        <xdr:cNvPr id="40" name="Lekerekített téglalap 39">
          <a:hlinkClick xmlns:r="http://schemas.openxmlformats.org/officeDocument/2006/relationships" r:id="rId25" tooltip="Group A"/>
        </xdr:cNvPr>
        <xdr:cNvSpPr/>
      </xdr:nvSpPr>
      <xdr:spPr>
        <a:xfrm>
          <a:off x="43129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4</xdr:row>
      <xdr:rowOff>45720</xdr:rowOff>
    </xdr:from>
    <xdr:to>
      <xdr:col>10</xdr:col>
      <xdr:colOff>335280</xdr:colOff>
      <xdr:row>4</xdr:row>
      <xdr:rowOff>243840</xdr:rowOff>
    </xdr:to>
    <xdr:sp macro="" textlink="">
      <xdr:nvSpPr>
        <xdr:cNvPr id="41" name="Lekerekített téglalap 40">
          <a:hlinkClick xmlns:r="http://schemas.openxmlformats.org/officeDocument/2006/relationships" r:id="rId26" tooltip="Group A"/>
        </xdr:cNvPr>
        <xdr:cNvSpPr/>
      </xdr:nvSpPr>
      <xdr:spPr>
        <a:xfrm>
          <a:off x="483870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4</xdr:row>
      <xdr:rowOff>38100</xdr:rowOff>
    </xdr:from>
    <xdr:to>
      <xdr:col>12</xdr:col>
      <xdr:colOff>137160</xdr:colOff>
      <xdr:row>4</xdr:row>
      <xdr:rowOff>236220</xdr:rowOff>
    </xdr:to>
    <xdr:sp macro="" textlink="">
      <xdr:nvSpPr>
        <xdr:cNvPr id="42" name="Lekerekített téglalap 41">
          <a:hlinkClick xmlns:r="http://schemas.openxmlformats.org/officeDocument/2006/relationships" r:id="rId27" tooltip="Group A"/>
        </xdr:cNvPr>
        <xdr:cNvSpPr/>
      </xdr:nvSpPr>
      <xdr:spPr>
        <a:xfrm>
          <a:off x="5364480" y="10287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4</xdr:row>
      <xdr:rowOff>45721</xdr:rowOff>
    </xdr:from>
    <xdr:to>
      <xdr:col>13</xdr:col>
      <xdr:colOff>495300</xdr:colOff>
      <xdr:row>4</xdr:row>
      <xdr:rowOff>243841</xdr:rowOff>
    </xdr:to>
    <xdr:sp macro="" textlink="">
      <xdr:nvSpPr>
        <xdr:cNvPr id="43" name="Lekerekített téglalap 42">
          <a:hlinkClick xmlns:r="http://schemas.openxmlformats.org/officeDocument/2006/relationships" r:id="rId28" tooltip="Group A"/>
        </xdr:cNvPr>
        <xdr:cNvSpPr/>
      </xdr:nvSpPr>
      <xdr:spPr>
        <a:xfrm>
          <a:off x="5897880" y="10363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4</xdr:row>
      <xdr:rowOff>45720</xdr:rowOff>
    </xdr:from>
    <xdr:to>
      <xdr:col>13</xdr:col>
      <xdr:colOff>1143000</xdr:colOff>
      <xdr:row>4</xdr:row>
      <xdr:rowOff>243840</xdr:rowOff>
    </xdr:to>
    <xdr:sp macro="" textlink="">
      <xdr:nvSpPr>
        <xdr:cNvPr id="44" name="Lekerekített téglalap 43">
          <a:hlinkClick xmlns:r="http://schemas.openxmlformats.org/officeDocument/2006/relationships" r:id="rId29" tooltip="Group A"/>
        </xdr:cNvPr>
        <xdr:cNvSpPr/>
      </xdr:nvSpPr>
      <xdr:spPr>
        <a:xfrm>
          <a:off x="6545580" y="10363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4</xdr:row>
      <xdr:rowOff>45720</xdr:rowOff>
    </xdr:from>
    <xdr:to>
      <xdr:col>14</xdr:col>
      <xdr:colOff>91440</xdr:colOff>
      <xdr:row>4</xdr:row>
      <xdr:rowOff>243840</xdr:rowOff>
    </xdr:to>
    <xdr:sp macro="" textlink="">
      <xdr:nvSpPr>
        <xdr:cNvPr id="45" name="Lekerekített téglalap 44">
          <a:hlinkClick xmlns:r="http://schemas.openxmlformats.org/officeDocument/2006/relationships" r:id="rId30" tooltip="Group A"/>
        </xdr:cNvPr>
        <xdr:cNvSpPr/>
      </xdr:nvSpPr>
      <xdr:spPr>
        <a:xfrm>
          <a:off x="71932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4</xdr:row>
      <xdr:rowOff>45720</xdr:rowOff>
    </xdr:from>
    <xdr:to>
      <xdr:col>15</xdr:col>
      <xdr:colOff>342900</xdr:colOff>
      <xdr:row>4</xdr:row>
      <xdr:rowOff>243840</xdr:rowOff>
    </xdr:to>
    <xdr:sp macro="" textlink="">
      <xdr:nvSpPr>
        <xdr:cNvPr id="46" name="Lekerekített téglalap 45">
          <a:hlinkClick xmlns:r="http://schemas.openxmlformats.org/officeDocument/2006/relationships" r:id="rId31" tooltip="Group A"/>
        </xdr:cNvPr>
        <xdr:cNvSpPr/>
      </xdr:nvSpPr>
      <xdr:spPr>
        <a:xfrm>
          <a:off x="78409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5</xdr:row>
          <xdr:rowOff>45720</xdr:rowOff>
        </xdr:from>
        <xdr:to>
          <xdr:col>7</xdr:col>
          <xdr:colOff>274320</xdr:colOff>
          <xdr:row>5</xdr:row>
          <xdr:rowOff>190500</xdr:rowOff>
        </xdr:to>
        <xdr:sp macro="" textlink="">
          <xdr:nvSpPr>
            <xdr:cNvPr id="110593" name="Check Box 1" hidden="1">
              <a:extLst>
                <a:ext uri="{63B3BB69-23CF-44E3-9099-C40C66FF867C}">
                  <a14:compatExt spid="_x0000_s1105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17</xdr:col>
      <xdr:colOff>0</xdr:colOff>
      <xdr:row>6</xdr:row>
      <xdr:rowOff>57150</xdr:rowOff>
    </xdr:from>
    <xdr:to>
      <xdr:col>17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14</xdr:row>
      <xdr:rowOff>53340</xdr:rowOff>
    </xdr:from>
    <xdr:to>
      <xdr:col>18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6</xdr:row>
      <xdr:rowOff>47626</xdr:rowOff>
    </xdr:from>
    <xdr:to>
      <xdr:col>17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10</xdr:row>
      <xdr:rowOff>84044</xdr:rowOff>
    </xdr:from>
    <xdr:to>
      <xdr:col>17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10</xdr:row>
      <xdr:rowOff>64434</xdr:rowOff>
    </xdr:from>
    <xdr:to>
      <xdr:col>17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22</xdr:row>
      <xdr:rowOff>57150</xdr:rowOff>
    </xdr:from>
    <xdr:to>
      <xdr:col>17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30</xdr:row>
      <xdr:rowOff>60960</xdr:rowOff>
    </xdr:from>
    <xdr:to>
      <xdr:col>18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22</xdr:row>
      <xdr:rowOff>47626</xdr:rowOff>
    </xdr:from>
    <xdr:to>
      <xdr:col>17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26</xdr:row>
      <xdr:rowOff>84044</xdr:rowOff>
    </xdr:from>
    <xdr:to>
      <xdr:col>17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26</xdr:row>
      <xdr:rowOff>64434</xdr:rowOff>
    </xdr:from>
    <xdr:to>
      <xdr:col>17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26</xdr:row>
      <xdr:rowOff>61912</xdr:rowOff>
    </xdr:from>
    <xdr:to>
      <xdr:col>26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7620</xdr:colOff>
      <xdr:row>10</xdr:row>
      <xdr:rowOff>68580</xdr:rowOff>
    </xdr:from>
    <xdr:to>
      <xdr:col>26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30480</xdr:colOff>
      <xdr:row>10</xdr:row>
      <xdr:rowOff>60960</xdr:rowOff>
    </xdr:from>
    <xdr:to>
      <xdr:col>26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34290</xdr:colOff>
      <xdr:row>18</xdr:row>
      <xdr:rowOff>60960</xdr:rowOff>
    </xdr:from>
    <xdr:to>
      <xdr:col>27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36871</xdr:colOff>
      <xdr:row>30</xdr:row>
      <xdr:rowOff>73742</xdr:rowOff>
    </xdr:from>
    <xdr:to>
      <xdr:col>27</xdr:col>
      <xdr:colOff>1597</xdr:colOff>
      <xdr:row>30</xdr:row>
      <xdr:rowOff>73742</xdr:rowOff>
    </xdr:to>
    <xdr:cxnSp macro="">
      <xdr:nvCxnSpPr>
        <xdr:cNvPr id="17" name="Egyenes összekötő 16"/>
        <xdr:cNvCxnSpPr/>
      </xdr:nvCxnSpPr>
      <xdr:spPr>
        <a:xfrm>
          <a:off x="10704871" y="5217242"/>
          <a:ext cx="223806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30726</xdr:colOff>
      <xdr:row>26</xdr:row>
      <xdr:rowOff>64525</xdr:rowOff>
    </xdr:from>
    <xdr:to>
      <xdr:col>26</xdr:col>
      <xdr:colOff>30726</xdr:colOff>
      <xdr:row>30</xdr:row>
      <xdr:rowOff>82960</xdr:rowOff>
    </xdr:to>
    <xdr:cxnSp macro="">
      <xdr:nvCxnSpPr>
        <xdr:cNvPr id="18" name="Egyenes összekötő 17"/>
        <xdr:cNvCxnSpPr/>
      </xdr:nvCxnSpPr>
      <xdr:spPr>
        <a:xfrm>
          <a:off x="10698726" y="4567945"/>
          <a:ext cx="0" cy="65851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9</xdr:row>
          <xdr:rowOff>45720</xdr:rowOff>
        </xdr:from>
        <xdr:to>
          <xdr:col>7</xdr:col>
          <xdr:colOff>274320</xdr:colOff>
          <xdr:row>9</xdr:row>
          <xdr:rowOff>190500</xdr:rowOff>
        </xdr:to>
        <xdr:sp macro="" textlink="">
          <xdr:nvSpPr>
            <xdr:cNvPr id="110594" name="Check Box 2" hidden="1">
              <a:extLst>
                <a:ext uri="{63B3BB69-23CF-44E3-9099-C40C66FF867C}">
                  <a14:compatExt spid="_x0000_s1105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13</xdr:row>
          <xdr:rowOff>45720</xdr:rowOff>
        </xdr:from>
        <xdr:to>
          <xdr:col>7</xdr:col>
          <xdr:colOff>274320</xdr:colOff>
          <xdr:row>13</xdr:row>
          <xdr:rowOff>190500</xdr:rowOff>
        </xdr:to>
        <xdr:sp macro="" textlink="">
          <xdr:nvSpPr>
            <xdr:cNvPr id="110595" name="Check Box 3" hidden="1">
              <a:extLst>
                <a:ext uri="{63B3BB69-23CF-44E3-9099-C40C66FF867C}">
                  <a14:compatExt spid="_x0000_s1105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17</xdr:row>
          <xdr:rowOff>45720</xdr:rowOff>
        </xdr:from>
        <xdr:to>
          <xdr:col>7</xdr:col>
          <xdr:colOff>274320</xdr:colOff>
          <xdr:row>17</xdr:row>
          <xdr:rowOff>190500</xdr:rowOff>
        </xdr:to>
        <xdr:sp macro="" textlink="">
          <xdr:nvSpPr>
            <xdr:cNvPr id="110596" name="Check Box 4" hidden="1">
              <a:extLst>
                <a:ext uri="{63B3BB69-23CF-44E3-9099-C40C66FF867C}">
                  <a14:compatExt spid="_x0000_s1105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21</xdr:row>
          <xdr:rowOff>45720</xdr:rowOff>
        </xdr:from>
        <xdr:to>
          <xdr:col>7</xdr:col>
          <xdr:colOff>274320</xdr:colOff>
          <xdr:row>21</xdr:row>
          <xdr:rowOff>190500</xdr:rowOff>
        </xdr:to>
        <xdr:sp macro="" textlink="">
          <xdr:nvSpPr>
            <xdr:cNvPr id="110597" name="Check Box 5" hidden="1">
              <a:extLst>
                <a:ext uri="{63B3BB69-23CF-44E3-9099-C40C66FF867C}">
                  <a14:compatExt spid="_x0000_s1105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25</xdr:row>
          <xdr:rowOff>45720</xdr:rowOff>
        </xdr:from>
        <xdr:to>
          <xdr:col>7</xdr:col>
          <xdr:colOff>274320</xdr:colOff>
          <xdr:row>25</xdr:row>
          <xdr:rowOff>190500</xdr:rowOff>
        </xdr:to>
        <xdr:sp macro="" textlink="">
          <xdr:nvSpPr>
            <xdr:cNvPr id="110598" name="Check Box 6" hidden="1">
              <a:extLst>
                <a:ext uri="{63B3BB69-23CF-44E3-9099-C40C66FF867C}">
                  <a14:compatExt spid="_x0000_s1105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33</xdr:row>
          <xdr:rowOff>45720</xdr:rowOff>
        </xdr:from>
        <xdr:to>
          <xdr:col>7</xdr:col>
          <xdr:colOff>274320</xdr:colOff>
          <xdr:row>33</xdr:row>
          <xdr:rowOff>190500</xdr:rowOff>
        </xdr:to>
        <xdr:sp macro="" textlink="">
          <xdr:nvSpPr>
            <xdr:cNvPr id="110600" name="Check Box 8" hidden="1">
              <a:extLst>
                <a:ext uri="{63B3BB69-23CF-44E3-9099-C40C66FF867C}">
                  <a14:compatExt spid="_x0000_s1106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7</xdr:row>
          <xdr:rowOff>45720</xdr:rowOff>
        </xdr:from>
        <xdr:to>
          <xdr:col>16</xdr:col>
          <xdr:colOff>274320</xdr:colOff>
          <xdr:row>7</xdr:row>
          <xdr:rowOff>190500</xdr:rowOff>
        </xdr:to>
        <xdr:sp macro="" textlink="">
          <xdr:nvSpPr>
            <xdr:cNvPr id="110601" name="Check Box 9" hidden="1">
              <a:extLst>
                <a:ext uri="{63B3BB69-23CF-44E3-9099-C40C66FF867C}">
                  <a14:compatExt spid="_x0000_s1106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15</xdr:row>
          <xdr:rowOff>45720</xdr:rowOff>
        </xdr:from>
        <xdr:to>
          <xdr:col>16</xdr:col>
          <xdr:colOff>274320</xdr:colOff>
          <xdr:row>15</xdr:row>
          <xdr:rowOff>190500</xdr:rowOff>
        </xdr:to>
        <xdr:sp macro="" textlink="">
          <xdr:nvSpPr>
            <xdr:cNvPr id="110602" name="Check Box 10" hidden="1">
              <a:extLst>
                <a:ext uri="{63B3BB69-23CF-44E3-9099-C40C66FF867C}">
                  <a14:compatExt spid="_x0000_s1106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23</xdr:row>
          <xdr:rowOff>45720</xdr:rowOff>
        </xdr:from>
        <xdr:to>
          <xdr:col>16</xdr:col>
          <xdr:colOff>274320</xdr:colOff>
          <xdr:row>23</xdr:row>
          <xdr:rowOff>190500</xdr:rowOff>
        </xdr:to>
        <xdr:sp macro="" textlink="">
          <xdr:nvSpPr>
            <xdr:cNvPr id="110603" name="Check Box 11" hidden="1">
              <a:extLst>
                <a:ext uri="{63B3BB69-23CF-44E3-9099-C40C66FF867C}">
                  <a14:compatExt spid="_x0000_s1106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31</xdr:row>
          <xdr:rowOff>45720</xdr:rowOff>
        </xdr:from>
        <xdr:to>
          <xdr:col>16</xdr:col>
          <xdr:colOff>274320</xdr:colOff>
          <xdr:row>31</xdr:row>
          <xdr:rowOff>190500</xdr:rowOff>
        </xdr:to>
        <xdr:sp macro="" textlink="">
          <xdr:nvSpPr>
            <xdr:cNvPr id="110604" name="Check Box 12" hidden="1">
              <a:extLst>
                <a:ext uri="{63B3BB69-23CF-44E3-9099-C40C66FF867C}">
                  <a14:compatExt spid="_x0000_s1106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11</xdr:row>
          <xdr:rowOff>45720</xdr:rowOff>
        </xdr:from>
        <xdr:to>
          <xdr:col>24</xdr:col>
          <xdr:colOff>274320</xdr:colOff>
          <xdr:row>11</xdr:row>
          <xdr:rowOff>190500</xdr:rowOff>
        </xdr:to>
        <xdr:sp macro="" textlink="">
          <xdr:nvSpPr>
            <xdr:cNvPr id="110605" name="Check Box 13" hidden="1">
              <a:extLst>
                <a:ext uri="{63B3BB69-23CF-44E3-9099-C40C66FF867C}">
                  <a14:compatExt spid="_x0000_s1106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27</xdr:row>
          <xdr:rowOff>45720</xdr:rowOff>
        </xdr:from>
        <xdr:to>
          <xdr:col>24</xdr:col>
          <xdr:colOff>274320</xdr:colOff>
          <xdr:row>27</xdr:row>
          <xdr:rowOff>190500</xdr:rowOff>
        </xdr:to>
        <xdr:sp macro="" textlink="">
          <xdr:nvSpPr>
            <xdr:cNvPr id="110606" name="Check Box 14" hidden="1">
              <a:extLst>
                <a:ext uri="{63B3BB69-23CF-44E3-9099-C40C66FF867C}">
                  <a14:compatExt spid="_x0000_s1106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19</xdr:row>
          <xdr:rowOff>45720</xdr:rowOff>
        </xdr:from>
        <xdr:to>
          <xdr:col>33</xdr:col>
          <xdr:colOff>274320</xdr:colOff>
          <xdr:row>19</xdr:row>
          <xdr:rowOff>190500</xdr:rowOff>
        </xdr:to>
        <xdr:sp macro="" textlink="">
          <xdr:nvSpPr>
            <xdr:cNvPr id="110607" name="Check Box 15" hidden="1">
              <a:extLst>
                <a:ext uri="{63B3BB69-23CF-44E3-9099-C40C66FF867C}">
                  <a14:compatExt spid="_x0000_s1106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31</xdr:row>
          <xdr:rowOff>45720</xdr:rowOff>
        </xdr:from>
        <xdr:to>
          <xdr:col>33</xdr:col>
          <xdr:colOff>274320</xdr:colOff>
          <xdr:row>31</xdr:row>
          <xdr:rowOff>190500</xdr:rowOff>
        </xdr:to>
        <xdr:sp macro="" textlink="">
          <xdr:nvSpPr>
            <xdr:cNvPr id="110608" name="Check Box 16" hidden="1">
              <a:extLst>
                <a:ext uri="{63B3BB69-23CF-44E3-9099-C40C66FF867C}">
                  <a14:compatExt spid="_x0000_s1106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57150</xdr:rowOff>
    </xdr:from>
    <xdr:to>
      <xdr:col>8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14</xdr:row>
      <xdr:rowOff>53340</xdr:rowOff>
    </xdr:from>
    <xdr:to>
      <xdr:col>9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6</xdr:row>
      <xdr:rowOff>47626</xdr:rowOff>
    </xdr:from>
    <xdr:to>
      <xdr:col>8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10</xdr:row>
      <xdr:rowOff>84044</xdr:rowOff>
    </xdr:from>
    <xdr:to>
      <xdr:col>8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10</xdr:row>
      <xdr:rowOff>64434</xdr:rowOff>
    </xdr:from>
    <xdr:to>
      <xdr:col>8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22</xdr:row>
      <xdr:rowOff>57150</xdr:rowOff>
    </xdr:from>
    <xdr:to>
      <xdr:col>8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30</xdr:row>
      <xdr:rowOff>60960</xdr:rowOff>
    </xdr:from>
    <xdr:to>
      <xdr:col>9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22</xdr:row>
      <xdr:rowOff>47626</xdr:rowOff>
    </xdr:from>
    <xdr:to>
      <xdr:col>8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26</xdr:row>
      <xdr:rowOff>84044</xdr:rowOff>
    </xdr:from>
    <xdr:to>
      <xdr:col>8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26</xdr:row>
      <xdr:rowOff>64434</xdr:rowOff>
    </xdr:from>
    <xdr:to>
      <xdr:col>8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26</xdr:row>
      <xdr:rowOff>61912</xdr:rowOff>
    </xdr:from>
    <xdr:to>
      <xdr:col>17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7620</xdr:colOff>
      <xdr:row>10</xdr:row>
      <xdr:rowOff>68580</xdr:rowOff>
    </xdr:from>
    <xdr:to>
      <xdr:col>17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30480</xdr:colOff>
      <xdr:row>10</xdr:row>
      <xdr:rowOff>60960</xdr:rowOff>
    </xdr:from>
    <xdr:to>
      <xdr:col>17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34290</xdr:colOff>
      <xdr:row>18</xdr:row>
      <xdr:rowOff>60960</xdr:rowOff>
    </xdr:from>
    <xdr:to>
      <xdr:col>18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7</xdr:row>
          <xdr:rowOff>45720</xdr:rowOff>
        </xdr:from>
        <xdr:to>
          <xdr:col>7</xdr:col>
          <xdr:colOff>274320</xdr:colOff>
          <xdr:row>7</xdr:row>
          <xdr:rowOff>190500</xdr:rowOff>
        </xdr:to>
        <xdr:sp macro="" textlink="">
          <xdr:nvSpPr>
            <xdr:cNvPr id="111625" name="Check Box 9" hidden="1">
              <a:extLst>
                <a:ext uri="{63B3BB69-23CF-44E3-9099-C40C66FF867C}">
                  <a14:compatExt spid="_x0000_s1116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15</xdr:row>
          <xdr:rowOff>45720</xdr:rowOff>
        </xdr:from>
        <xdr:to>
          <xdr:col>7</xdr:col>
          <xdr:colOff>274320</xdr:colOff>
          <xdr:row>15</xdr:row>
          <xdr:rowOff>190500</xdr:rowOff>
        </xdr:to>
        <xdr:sp macro="" textlink="">
          <xdr:nvSpPr>
            <xdr:cNvPr id="111626" name="Check Box 10" hidden="1">
              <a:extLst>
                <a:ext uri="{63B3BB69-23CF-44E3-9099-C40C66FF867C}">
                  <a14:compatExt spid="_x0000_s1116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23</xdr:row>
          <xdr:rowOff>45720</xdr:rowOff>
        </xdr:from>
        <xdr:to>
          <xdr:col>7</xdr:col>
          <xdr:colOff>274320</xdr:colOff>
          <xdr:row>23</xdr:row>
          <xdr:rowOff>190500</xdr:rowOff>
        </xdr:to>
        <xdr:sp macro="" textlink="">
          <xdr:nvSpPr>
            <xdr:cNvPr id="111627" name="Check Box 11" hidden="1">
              <a:extLst>
                <a:ext uri="{63B3BB69-23CF-44E3-9099-C40C66FF867C}">
                  <a14:compatExt spid="_x0000_s1116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31</xdr:row>
          <xdr:rowOff>45720</xdr:rowOff>
        </xdr:from>
        <xdr:to>
          <xdr:col>7</xdr:col>
          <xdr:colOff>274320</xdr:colOff>
          <xdr:row>31</xdr:row>
          <xdr:rowOff>190500</xdr:rowOff>
        </xdr:to>
        <xdr:sp macro="" textlink="">
          <xdr:nvSpPr>
            <xdr:cNvPr id="111628" name="Check Box 12" hidden="1">
              <a:extLst>
                <a:ext uri="{63B3BB69-23CF-44E3-9099-C40C66FF867C}">
                  <a14:compatExt spid="_x0000_s1116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11</xdr:row>
          <xdr:rowOff>45720</xdr:rowOff>
        </xdr:from>
        <xdr:to>
          <xdr:col>15</xdr:col>
          <xdr:colOff>274320</xdr:colOff>
          <xdr:row>11</xdr:row>
          <xdr:rowOff>190500</xdr:rowOff>
        </xdr:to>
        <xdr:sp macro="" textlink="">
          <xdr:nvSpPr>
            <xdr:cNvPr id="111629" name="Check Box 13" hidden="1">
              <a:extLst>
                <a:ext uri="{63B3BB69-23CF-44E3-9099-C40C66FF867C}">
                  <a14:compatExt spid="_x0000_s1116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27</xdr:row>
          <xdr:rowOff>45720</xdr:rowOff>
        </xdr:from>
        <xdr:to>
          <xdr:col>15</xdr:col>
          <xdr:colOff>274320</xdr:colOff>
          <xdr:row>27</xdr:row>
          <xdr:rowOff>190500</xdr:rowOff>
        </xdr:to>
        <xdr:sp macro="" textlink="">
          <xdr:nvSpPr>
            <xdr:cNvPr id="111630" name="Check Box 14" hidden="1">
              <a:extLst>
                <a:ext uri="{63B3BB69-23CF-44E3-9099-C40C66FF867C}">
                  <a14:compatExt spid="_x0000_s1116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19</xdr:row>
          <xdr:rowOff>45720</xdr:rowOff>
        </xdr:from>
        <xdr:to>
          <xdr:col>24</xdr:col>
          <xdr:colOff>274320</xdr:colOff>
          <xdr:row>19</xdr:row>
          <xdr:rowOff>190500</xdr:rowOff>
        </xdr:to>
        <xdr:sp macro="" textlink="">
          <xdr:nvSpPr>
            <xdr:cNvPr id="111631" name="Check Box 15" hidden="1">
              <a:extLst>
                <a:ext uri="{63B3BB69-23CF-44E3-9099-C40C66FF867C}">
                  <a14:compatExt spid="_x0000_s1116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saj&#225;t/Sensi%20Days%202017/17%2007%2024/sport_tournament_7_tea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. F"/>
      <sheetName val="Gr. F+"/>
      <sheetName val="GroupA"/>
    </sheetNames>
    <sheetDataSet>
      <sheetData sheetId="0"/>
      <sheetData sheetId="1"/>
      <sheetData sheetId="2">
        <row r="14">
          <cell r="A14" t="str">
            <v>Feyenoord</v>
          </cell>
          <cell r="B14" t="str">
            <v>AZ</v>
          </cell>
          <cell r="C14">
            <v>0</v>
          </cell>
          <cell r="E14">
            <v>3</v>
          </cell>
        </row>
        <row r="15">
          <cell r="A15" t="str">
            <v>Ajax</v>
          </cell>
          <cell r="B15" t="str">
            <v>Vitesse</v>
          </cell>
          <cell r="C15">
            <v>3</v>
          </cell>
          <cell r="E15">
            <v>1</v>
          </cell>
        </row>
        <row r="16">
          <cell r="A16" t="str">
            <v>PSV</v>
          </cell>
          <cell r="B16" t="str">
            <v>Utrecht</v>
          </cell>
          <cell r="C16">
            <v>4</v>
          </cell>
          <cell r="E16">
            <v>0</v>
          </cell>
        </row>
        <row r="17">
          <cell r="A17" t="str">
            <v>Utrecht</v>
          </cell>
          <cell r="B17" t="str">
            <v>Ajax</v>
          </cell>
          <cell r="C17">
            <v>2</v>
          </cell>
          <cell r="E17">
            <v>1</v>
          </cell>
        </row>
        <row r="18">
          <cell r="A18" t="str">
            <v>Vitesse</v>
          </cell>
          <cell r="B18" t="str">
            <v>Feyenoord</v>
          </cell>
          <cell r="C18">
            <v>1</v>
          </cell>
          <cell r="E18">
            <v>3</v>
          </cell>
        </row>
        <row r="19">
          <cell r="A19" t="str">
            <v>AZ</v>
          </cell>
          <cell r="B19" t="str">
            <v>Twente</v>
          </cell>
          <cell r="C19">
            <v>5</v>
          </cell>
          <cell r="E19">
            <v>4</v>
          </cell>
        </row>
        <row r="20">
          <cell r="A20" t="str">
            <v>Ajax</v>
          </cell>
          <cell r="B20" t="str">
            <v>Twente</v>
          </cell>
          <cell r="C20">
            <v>6</v>
          </cell>
          <cell r="E20">
            <v>2</v>
          </cell>
        </row>
        <row r="21">
          <cell r="A21" t="str">
            <v>PSV</v>
          </cell>
          <cell r="B21" t="str">
            <v>AZ</v>
          </cell>
          <cell r="C21">
            <v>4</v>
          </cell>
          <cell r="E21">
            <v>3</v>
          </cell>
        </row>
        <row r="22">
          <cell r="A22" t="str">
            <v>Utrecht</v>
          </cell>
          <cell r="B22" t="str">
            <v>Vitesse</v>
          </cell>
          <cell r="C22">
            <v>2</v>
          </cell>
          <cell r="E22">
            <v>4</v>
          </cell>
        </row>
        <row r="23">
          <cell r="A23" t="str">
            <v>Vitesse</v>
          </cell>
          <cell r="B23" t="str">
            <v>PSV</v>
          </cell>
          <cell r="C23">
            <v>1</v>
          </cell>
          <cell r="E23">
            <v>3</v>
          </cell>
        </row>
        <row r="24">
          <cell r="A24" t="str">
            <v>AZ</v>
          </cell>
          <cell r="B24" t="str">
            <v>Ajax</v>
          </cell>
          <cell r="C24">
            <v>0</v>
          </cell>
          <cell r="E24">
            <v>2</v>
          </cell>
        </row>
        <row r="25">
          <cell r="A25" t="str">
            <v>Twente</v>
          </cell>
          <cell r="B25" t="str">
            <v>Feyenoord</v>
          </cell>
          <cell r="C25">
            <v>0</v>
          </cell>
          <cell r="E25">
            <v>2</v>
          </cell>
        </row>
        <row r="26">
          <cell r="A26" t="str">
            <v>PSV</v>
          </cell>
          <cell r="B26" t="str">
            <v>Feyenoord</v>
          </cell>
          <cell r="C26">
            <v>4</v>
          </cell>
          <cell r="E26">
            <v>1</v>
          </cell>
        </row>
        <row r="27">
          <cell r="A27" t="str">
            <v>Utrecht</v>
          </cell>
          <cell r="B27" t="str">
            <v>Twente</v>
          </cell>
          <cell r="C27">
            <v>5</v>
          </cell>
          <cell r="E27">
            <v>0</v>
          </cell>
        </row>
        <row r="28">
          <cell r="A28" t="str">
            <v>Vitesse</v>
          </cell>
          <cell r="B28" t="str">
            <v>AZ</v>
          </cell>
          <cell r="C28">
            <v>7</v>
          </cell>
          <cell r="E28">
            <v>4</v>
          </cell>
        </row>
        <row r="29">
          <cell r="A29" t="str">
            <v>AZ</v>
          </cell>
          <cell r="B29" t="str">
            <v>Utrecht</v>
          </cell>
          <cell r="C29">
            <v>3</v>
          </cell>
          <cell r="E29">
            <v>0</v>
          </cell>
        </row>
        <row r="30">
          <cell r="A30" t="str">
            <v>Twente</v>
          </cell>
          <cell r="B30" t="str">
            <v>PSV</v>
          </cell>
          <cell r="C30">
            <v>2</v>
          </cell>
          <cell r="E30">
            <v>1</v>
          </cell>
        </row>
        <row r="31">
          <cell r="A31" t="str">
            <v>Feyenoord</v>
          </cell>
          <cell r="B31" t="str">
            <v>Ajax</v>
          </cell>
          <cell r="C31">
            <v>3</v>
          </cell>
          <cell r="E31">
            <v>3</v>
          </cell>
        </row>
        <row r="32">
          <cell r="A32" t="str">
            <v>Twente</v>
          </cell>
          <cell r="B32" t="str">
            <v>Vitesse</v>
          </cell>
          <cell r="C32">
            <v>1</v>
          </cell>
          <cell r="E32">
            <v>1</v>
          </cell>
        </row>
        <row r="33">
          <cell r="A33" t="str">
            <v>Feyenoord</v>
          </cell>
          <cell r="B33" t="str">
            <v>Utrecht</v>
          </cell>
          <cell r="C33">
            <v>3</v>
          </cell>
          <cell r="E33">
            <v>5</v>
          </cell>
        </row>
        <row r="34">
          <cell r="A34" t="str">
            <v>Ajax</v>
          </cell>
          <cell r="B34" t="str">
            <v>PSV</v>
          </cell>
          <cell r="C34">
            <v>4</v>
          </cell>
          <cell r="E34">
            <v>3</v>
          </cell>
        </row>
        <row r="35">
          <cell r="A35" t="str">
            <v>AZ</v>
          </cell>
          <cell r="B35" t="str">
            <v>Feyenoord</v>
          </cell>
          <cell r="C35">
            <v>1</v>
          </cell>
          <cell r="E35">
            <v>2</v>
          </cell>
        </row>
        <row r="36">
          <cell r="A36" t="str">
            <v>Vitesse</v>
          </cell>
          <cell r="B36" t="str">
            <v>Ajax</v>
          </cell>
          <cell r="C36">
            <v>2</v>
          </cell>
          <cell r="E36">
            <v>5</v>
          </cell>
        </row>
        <row r="37">
          <cell r="A37" t="str">
            <v>Utrecht</v>
          </cell>
          <cell r="B37" t="str">
            <v>PSV</v>
          </cell>
          <cell r="C37">
            <v>3</v>
          </cell>
          <cell r="E37">
            <v>3</v>
          </cell>
        </row>
        <row r="38">
          <cell r="A38" t="str">
            <v>Ajax</v>
          </cell>
          <cell r="B38" t="str">
            <v>Utrecht</v>
          </cell>
          <cell r="C38">
            <v>0</v>
          </cell>
          <cell r="E38">
            <v>4</v>
          </cell>
        </row>
        <row r="39">
          <cell r="A39" t="str">
            <v>Feyenoord</v>
          </cell>
          <cell r="B39" t="str">
            <v>Vitesse</v>
          </cell>
          <cell r="C39">
            <v>4</v>
          </cell>
          <cell r="E39">
            <v>1</v>
          </cell>
        </row>
        <row r="40">
          <cell r="A40" t="str">
            <v>Twente</v>
          </cell>
          <cell r="B40" t="str">
            <v>AZ</v>
          </cell>
          <cell r="C40">
            <v>1</v>
          </cell>
          <cell r="E40">
            <v>0</v>
          </cell>
        </row>
        <row r="41">
          <cell r="A41" t="str">
            <v>Twente</v>
          </cell>
          <cell r="B41" t="str">
            <v>Ajax</v>
          </cell>
          <cell r="C41">
            <v>2</v>
          </cell>
          <cell r="E41">
            <v>2</v>
          </cell>
        </row>
        <row r="42">
          <cell r="A42" t="str">
            <v>AZ</v>
          </cell>
          <cell r="B42" t="str">
            <v>PSV</v>
          </cell>
          <cell r="C42">
            <v>1</v>
          </cell>
          <cell r="E42">
            <v>3</v>
          </cell>
        </row>
        <row r="43">
          <cell r="A43" t="str">
            <v>Vitesse</v>
          </cell>
          <cell r="B43" t="str">
            <v>Utrecht</v>
          </cell>
          <cell r="C43">
            <v>1</v>
          </cell>
          <cell r="E43">
            <v>4</v>
          </cell>
        </row>
        <row r="44">
          <cell r="A44" t="str">
            <v>PSV</v>
          </cell>
          <cell r="B44" t="str">
            <v>Vitesse</v>
          </cell>
          <cell r="C44">
            <v>1</v>
          </cell>
          <cell r="E44">
            <v>2</v>
          </cell>
        </row>
        <row r="45">
          <cell r="A45" t="str">
            <v>Ajax</v>
          </cell>
          <cell r="B45" t="str">
            <v>AZ</v>
          </cell>
          <cell r="C45">
            <v>0</v>
          </cell>
          <cell r="E45">
            <v>2</v>
          </cell>
        </row>
        <row r="46">
          <cell r="A46" t="str">
            <v>Feyenoord</v>
          </cell>
          <cell r="B46" t="str">
            <v>Twente</v>
          </cell>
          <cell r="C46">
            <v>0</v>
          </cell>
          <cell r="E46">
            <v>1</v>
          </cell>
        </row>
        <row r="47">
          <cell r="A47" t="str">
            <v>Feyenoord</v>
          </cell>
          <cell r="B47" t="str">
            <v>PSV</v>
          </cell>
          <cell r="C47">
            <v>0</v>
          </cell>
          <cell r="E47">
            <v>1</v>
          </cell>
        </row>
        <row r="48">
          <cell r="A48" t="str">
            <v>Twente</v>
          </cell>
          <cell r="B48" t="str">
            <v>Utrecht</v>
          </cell>
          <cell r="C48">
            <v>4</v>
          </cell>
          <cell r="E48">
            <v>4</v>
          </cell>
        </row>
        <row r="49">
          <cell r="A49" t="str">
            <v>AZ</v>
          </cell>
          <cell r="B49" t="str">
            <v>Vitesse</v>
          </cell>
          <cell r="C49">
            <v>3</v>
          </cell>
          <cell r="E49">
            <v>2</v>
          </cell>
        </row>
        <row r="50">
          <cell r="A50" t="str">
            <v>Utrecht</v>
          </cell>
          <cell r="B50" t="str">
            <v>AZ</v>
          </cell>
          <cell r="C50">
            <v>2</v>
          </cell>
          <cell r="E50">
            <v>1</v>
          </cell>
        </row>
        <row r="51">
          <cell r="A51" t="str">
            <v>PSV</v>
          </cell>
          <cell r="B51" t="str">
            <v>Twente</v>
          </cell>
          <cell r="C51">
            <v>5</v>
          </cell>
          <cell r="E51">
            <v>0</v>
          </cell>
        </row>
        <row r="52">
          <cell r="A52" t="str">
            <v>Ajax</v>
          </cell>
          <cell r="B52" t="str">
            <v>Feyenoord</v>
          </cell>
          <cell r="C52">
            <v>6</v>
          </cell>
          <cell r="E52">
            <v>2</v>
          </cell>
        </row>
        <row r="53">
          <cell r="A53" t="str">
            <v>Vitesse</v>
          </cell>
          <cell r="B53" t="str">
            <v>Twente</v>
          </cell>
          <cell r="C53">
            <v>7</v>
          </cell>
          <cell r="E53">
            <v>3</v>
          </cell>
        </row>
        <row r="54">
          <cell r="A54" t="str">
            <v>Utrecht</v>
          </cell>
          <cell r="B54" t="str">
            <v>Feyenoord</v>
          </cell>
          <cell r="C54">
            <v>2</v>
          </cell>
          <cell r="E54">
            <v>5</v>
          </cell>
        </row>
        <row r="55">
          <cell r="A55" t="str">
            <v>PSV</v>
          </cell>
          <cell r="B55" t="str">
            <v>Ajax</v>
          </cell>
          <cell r="C55">
            <v>3</v>
          </cell>
          <cell r="E55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W65"/>
  <sheetViews>
    <sheetView showGridLines="0" tabSelected="1" workbookViewId="0">
      <pane ySplit="5" topLeftCell="A6" activePane="bottomLeft" state="frozen"/>
      <selection activeCell="C19" sqref="C19"/>
      <selection pane="bottomLeft"/>
    </sheetView>
  </sheetViews>
  <sheetFormatPr defaultRowHeight="14.4" x14ac:dyDescent="0.3"/>
  <cols>
    <col min="1" max="1" width="2.6640625" style="7" customWidth="1"/>
    <col min="2" max="2" width="4.44140625" style="7" bestFit="1" customWidth="1"/>
    <col min="3" max="3" width="24.6640625" style="7" customWidth="1"/>
    <col min="4" max="11" width="5.6640625" style="7" customWidth="1"/>
    <col min="12" max="12" width="4.6640625" style="7" customWidth="1"/>
    <col min="13" max="13" width="4.44140625" style="7" bestFit="1" customWidth="1"/>
    <col min="14" max="14" width="24.6640625" style="7" customWidth="1"/>
    <col min="15" max="22" width="5.6640625" style="7" customWidth="1"/>
  </cols>
  <sheetData>
    <row r="1" spans="1:49" ht="6" customHeight="1" x14ac:dyDescent="0.3">
      <c r="A1" s="152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</row>
    <row r="2" spans="1:49" s="78" customFormat="1" ht="24" customHeight="1" x14ac:dyDescent="0.3">
      <c r="A2" s="152"/>
      <c r="B2" s="166"/>
      <c r="C2" s="221" t="s">
        <v>108</v>
      </c>
      <c r="D2" s="221"/>
      <c r="E2" s="151"/>
      <c r="F2" s="151"/>
      <c r="G2" s="148"/>
      <c r="H2" s="148"/>
      <c r="I2" s="148"/>
      <c r="J2" s="148"/>
      <c r="K2" s="148"/>
      <c r="L2" s="150"/>
      <c r="M2" s="150"/>
      <c r="N2" s="150"/>
      <c r="O2" s="150"/>
      <c r="P2" s="147"/>
      <c r="Q2" s="148"/>
      <c r="R2" s="148"/>
      <c r="S2" s="148"/>
      <c r="T2" s="148"/>
      <c r="U2" s="148"/>
      <c r="V2" s="148"/>
      <c r="W2"/>
      <c r="X2"/>
      <c r="Y2" s="149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</row>
    <row r="3" spans="1:49" s="78" customFormat="1" ht="24" customHeight="1" x14ac:dyDescent="0.3">
      <c r="A3" s="152"/>
      <c r="B3" s="222" t="s">
        <v>109</v>
      </c>
      <c r="C3" s="222"/>
      <c r="D3" s="222"/>
      <c r="E3" s="162"/>
      <c r="F3" s="162"/>
      <c r="G3" s="163"/>
      <c r="H3" s="163"/>
      <c r="I3" s="163"/>
      <c r="J3" s="163"/>
      <c r="K3" s="163"/>
      <c r="L3" s="164"/>
      <c r="M3" s="164"/>
      <c r="N3" s="164"/>
      <c r="O3" s="164"/>
      <c r="P3" s="165"/>
      <c r="Q3" s="163"/>
      <c r="R3" s="163"/>
      <c r="S3" s="163"/>
      <c r="T3" s="163"/>
      <c r="U3" s="163"/>
      <c r="V3" s="163"/>
      <c r="W3"/>
      <c r="X3"/>
      <c r="Y3" s="149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</row>
    <row r="4" spans="1:49" s="78" customFormat="1" ht="24" customHeight="1" x14ac:dyDescent="0.3">
      <c r="A4" s="152"/>
      <c r="B4" s="223" t="s">
        <v>111</v>
      </c>
      <c r="C4" s="223"/>
      <c r="D4" s="223"/>
      <c r="E4" s="158"/>
      <c r="F4" s="158"/>
      <c r="G4" s="159"/>
      <c r="H4" s="159"/>
      <c r="I4" s="159"/>
      <c r="J4" s="159"/>
      <c r="K4" s="159"/>
      <c r="L4" s="160"/>
      <c r="M4" s="160"/>
      <c r="N4" s="160"/>
      <c r="O4" s="160"/>
      <c r="P4" s="161"/>
      <c r="Q4" s="159"/>
      <c r="R4" s="159"/>
      <c r="S4" s="159"/>
      <c r="T4" s="159"/>
      <c r="U4" s="159"/>
      <c r="V4" s="159"/>
      <c r="W4"/>
      <c r="X4"/>
      <c r="Y4" s="149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</row>
    <row r="5" spans="1:49" s="78" customFormat="1" ht="24" customHeight="1" x14ac:dyDescent="0.3">
      <c r="A5" s="152"/>
      <c r="B5" s="224" t="s">
        <v>110</v>
      </c>
      <c r="C5" s="224"/>
      <c r="D5" s="224"/>
      <c r="E5" s="154"/>
      <c r="F5" s="154"/>
      <c r="G5" s="155"/>
      <c r="H5" s="155"/>
      <c r="I5" s="155"/>
      <c r="J5" s="155"/>
      <c r="K5" s="155"/>
      <c r="L5" s="156"/>
      <c r="M5" s="156"/>
      <c r="N5" s="156"/>
      <c r="O5" s="156"/>
      <c r="P5" s="157"/>
      <c r="Q5" s="155"/>
      <c r="R5" s="155"/>
      <c r="S5" s="155"/>
      <c r="T5" s="155"/>
      <c r="U5" s="155"/>
      <c r="V5" s="155"/>
      <c r="W5"/>
      <c r="X5"/>
      <c r="Y5" s="149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</row>
    <row r="7" spans="1:49" ht="46.2" x14ac:dyDescent="0.85">
      <c r="B7" s="11"/>
      <c r="C7" s="225" t="s">
        <v>106</v>
      </c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</row>
    <row r="8" spans="1:49" ht="22.95" customHeight="1" thickBot="1" x14ac:dyDescent="0.35"/>
    <row r="9" spans="1:49" s="46" customFormat="1" ht="22.95" customHeight="1" thickTop="1" thickBot="1" x14ac:dyDescent="0.35">
      <c r="B9" s="68"/>
      <c r="C9" s="219" t="s">
        <v>74</v>
      </c>
      <c r="D9" s="219"/>
      <c r="E9" s="219"/>
      <c r="F9" s="219"/>
      <c r="G9" s="219"/>
      <c r="H9" s="219"/>
      <c r="I9" s="219"/>
      <c r="J9" s="219"/>
      <c r="K9" s="219"/>
      <c r="M9" s="68"/>
      <c r="N9" s="219" t="s">
        <v>75</v>
      </c>
      <c r="O9" s="219"/>
      <c r="P9" s="219"/>
      <c r="Q9" s="219"/>
      <c r="R9" s="219"/>
      <c r="S9" s="219"/>
      <c r="T9" s="219"/>
      <c r="U9" s="219"/>
      <c r="V9" s="219"/>
    </row>
    <row r="10" spans="1:49" s="46" customFormat="1" ht="22.95" customHeight="1" thickTop="1" x14ac:dyDescent="0.3">
      <c r="B10" s="68"/>
      <c r="C10" s="66" t="s">
        <v>35</v>
      </c>
      <c r="D10" s="66" t="s">
        <v>71</v>
      </c>
      <c r="E10" s="66" t="s">
        <v>52</v>
      </c>
      <c r="F10" s="66" t="s">
        <v>53</v>
      </c>
      <c r="G10" s="66" t="s">
        <v>54</v>
      </c>
      <c r="H10" s="66" t="s">
        <v>55</v>
      </c>
      <c r="I10" s="66" t="s">
        <v>56</v>
      </c>
      <c r="J10" s="67" t="s">
        <v>72</v>
      </c>
      <c r="K10" s="66" t="s">
        <v>73</v>
      </c>
      <c r="M10" s="68"/>
      <c r="N10" s="66" t="s">
        <v>35</v>
      </c>
      <c r="O10" s="66" t="s">
        <v>71</v>
      </c>
      <c r="P10" s="66" t="s">
        <v>52</v>
      </c>
      <c r="Q10" s="66" t="s">
        <v>53</v>
      </c>
      <c r="R10" s="66" t="s">
        <v>54</v>
      </c>
      <c r="S10" s="66" t="s">
        <v>55</v>
      </c>
      <c r="T10" s="66" t="s">
        <v>56</v>
      </c>
      <c r="U10" s="67" t="s">
        <v>72</v>
      </c>
      <c r="V10" s="66" t="s">
        <v>73</v>
      </c>
    </row>
    <row r="11" spans="1:49" s="46" customFormat="1" ht="20.399999999999999" customHeight="1" x14ac:dyDescent="0.3">
      <c r="B11" s="69">
        <v>1</v>
      </c>
      <c r="C11" s="54" t="str">
        <f>'Gr. A res'!H16</f>
        <v>DjowGer</v>
      </c>
      <c r="D11" s="55">
        <f>'Gr. A res'!I16</f>
        <v>12</v>
      </c>
      <c r="E11" s="55">
        <f>'Gr. A res'!J16</f>
        <v>11</v>
      </c>
      <c r="F11" s="55">
        <f>'Gr. A res'!K16</f>
        <v>1</v>
      </c>
      <c r="G11" s="55">
        <f>'Gr. A res'!L16</f>
        <v>0</v>
      </c>
      <c r="H11" s="55">
        <f>'Gr. A res'!M16</f>
        <v>65</v>
      </c>
      <c r="I11" s="55">
        <f>'Gr. A res'!N16</f>
        <v>7</v>
      </c>
      <c r="J11" s="55">
        <f>'Gr. A res'!O16</f>
        <v>58</v>
      </c>
      <c r="K11" s="54">
        <f>'Gr. A res'!P16</f>
        <v>34</v>
      </c>
      <c r="M11" s="69">
        <v>1</v>
      </c>
      <c r="N11" s="54" t="str">
        <f>'Gr. B res'!H15</f>
        <v>Bomb</v>
      </c>
      <c r="O11" s="55">
        <f>'Gr. B res'!I15</f>
        <v>10</v>
      </c>
      <c r="P11" s="55">
        <f>'Gr. B res'!J15</f>
        <v>8</v>
      </c>
      <c r="Q11" s="55">
        <f>'Gr. B res'!K15</f>
        <v>1</v>
      </c>
      <c r="R11" s="55">
        <f>'Gr. B res'!L15</f>
        <v>1</v>
      </c>
      <c r="S11" s="55">
        <f>'Gr. B res'!M15</f>
        <v>26</v>
      </c>
      <c r="T11" s="55">
        <f>'Gr. B res'!N15</f>
        <v>10</v>
      </c>
      <c r="U11" s="55">
        <f>'Gr. B res'!O15</f>
        <v>16</v>
      </c>
      <c r="V11" s="54">
        <f>'Gr. B res'!P15</f>
        <v>25</v>
      </c>
    </row>
    <row r="12" spans="1:49" s="46" customFormat="1" ht="20.399999999999999" customHeight="1" x14ac:dyDescent="0.3">
      <c r="B12" s="69">
        <v>2</v>
      </c>
      <c r="C12" s="50" t="str">
        <f>'Gr. A res'!H17</f>
        <v>Bromberg</v>
      </c>
      <c r="D12" s="51">
        <f>'Gr. A res'!I17</f>
        <v>12</v>
      </c>
      <c r="E12" s="51">
        <f>'Gr. A res'!J17</f>
        <v>7</v>
      </c>
      <c r="F12" s="51">
        <f>'Gr. A res'!K17</f>
        <v>3</v>
      </c>
      <c r="G12" s="51">
        <f>'Gr. A res'!L17</f>
        <v>2</v>
      </c>
      <c r="H12" s="51">
        <f>'Gr. A res'!M17</f>
        <v>32</v>
      </c>
      <c r="I12" s="51">
        <f>'Gr. A res'!N17</f>
        <v>16</v>
      </c>
      <c r="J12" s="51">
        <f>'Gr. A res'!O17</f>
        <v>16</v>
      </c>
      <c r="K12" s="50">
        <f>'Gr. A res'!P17</f>
        <v>24</v>
      </c>
      <c r="M12" s="69">
        <v>2</v>
      </c>
      <c r="N12" s="50" t="str">
        <f>'Gr. B res'!H16</f>
        <v>Klaris</v>
      </c>
      <c r="O12" s="51">
        <f>'Gr. B res'!I16</f>
        <v>10</v>
      </c>
      <c r="P12" s="51">
        <f>'Gr. B res'!J16</f>
        <v>6</v>
      </c>
      <c r="Q12" s="51">
        <f>'Gr. B res'!K16</f>
        <v>3</v>
      </c>
      <c r="R12" s="51">
        <f>'Gr. B res'!L16</f>
        <v>1</v>
      </c>
      <c r="S12" s="51">
        <f>'Gr. B res'!M16</f>
        <v>19</v>
      </c>
      <c r="T12" s="51">
        <f>'Gr. B res'!N16</f>
        <v>13</v>
      </c>
      <c r="U12" s="51">
        <f>'Gr. B res'!O16</f>
        <v>6</v>
      </c>
      <c r="V12" s="50">
        <f>'Gr. B res'!P16</f>
        <v>21</v>
      </c>
    </row>
    <row r="13" spans="1:49" s="46" customFormat="1" ht="20.399999999999999" customHeight="1" x14ac:dyDescent="0.3">
      <c r="B13" s="69">
        <v>3</v>
      </c>
      <c r="C13" s="52" t="str">
        <f>'Gr. A res'!H18</f>
        <v>Sanek</v>
      </c>
      <c r="D13" s="53">
        <f>'Gr. A res'!I18</f>
        <v>12</v>
      </c>
      <c r="E13" s="53">
        <f>'Gr. A res'!J18</f>
        <v>7</v>
      </c>
      <c r="F13" s="53">
        <f>'Gr. A res'!K18</f>
        <v>3</v>
      </c>
      <c r="G13" s="53">
        <f>'Gr. A res'!L18</f>
        <v>2</v>
      </c>
      <c r="H13" s="53">
        <f>'Gr. A res'!M18</f>
        <v>26</v>
      </c>
      <c r="I13" s="53">
        <f>'Gr. A res'!N18</f>
        <v>18</v>
      </c>
      <c r="J13" s="53">
        <f>'Gr. A res'!O18</f>
        <v>8</v>
      </c>
      <c r="K13" s="52">
        <f>'Gr. A res'!P18</f>
        <v>24</v>
      </c>
      <c r="M13" s="69">
        <v>3</v>
      </c>
      <c r="N13" s="52" t="str">
        <f>'Gr. B res'!H17</f>
        <v>AndYpsilon</v>
      </c>
      <c r="O13" s="53">
        <f>'Gr. B res'!I17</f>
        <v>10</v>
      </c>
      <c r="P13" s="53">
        <f>'Gr. B res'!J17</f>
        <v>6</v>
      </c>
      <c r="Q13" s="53">
        <f>'Gr. B res'!K17</f>
        <v>1</v>
      </c>
      <c r="R13" s="53">
        <f>'Gr. B res'!L17</f>
        <v>3</v>
      </c>
      <c r="S13" s="53">
        <f>'Gr. B res'!M17</f>
        <v>26</v>
      </c>
      <c r="T13" s="53">
        <f>'Gr. B res'!N17</f>
        <v>20</v>
      </c>
      <c r="U13" s="53">
        <f>'Gr. B res'!O17</f>
        <v>6</v>
      </c>
      <c r="V13" s="52">
        <f>'Gr. B res'!P17</f>
        <v>19</v>
      </c>
    </row>
    <row r="14" spans="1:49" s="46" customFormat="1" ht="20.399999999999999" customHeight="1" x14ac:dyDescent="0.3">
      <c r="B14" s="69">
        <v>4</v>
      </c>
      <c r="C14" s="52" t="str">
        <f>'Gr. A res'!H19</f>
        <v>Schulle</v>
      </c>
      <c r="D14" s="53">
        <f>'Gr. A res'!I19</f>
        <v>12</v>
      </c>
      <c r="E14" s="53">
        <f>'Gr. A res'!J19</f>
        <v>6</v>
      </c>
      <c r="F14" s="53">
        <f>'Gr. A res'!K19</f>
        <v>1</v>
      </c>
      <c r="G14" s="53">
        <f>'Gr. A res'!L19</f>
        <v>5</v>
      </c>
      <c r="H14" s="53">
        <f>'Gr. A res'!M19</f>
        <v>31</v>
      </c>
      <c r="I14" s="53">
        <f>'Gr. A res'!N19</f>
        <v>26</v>
      </c>
      <c r="J14" s="53">
        <f>'Gr. A res'!O19</f>
        <v>5</v>
      </c>
      <c r="K14" s="52">
        <f>'Gr. A res'!P19</f>
        <v>19</v>
      </c>
      <c r="M14" s="69">
        <v>4</v>
      </c>
      <c r="N14" s="52" t="str">
        <f>'Gr. B res'!H18</f>
        <v>Fifko</v>
      </c>
      <c r="O14" s="53">
        <f>'Gr. B res'!I18</f>
        <v>10</v>
      </c>
      <c r="P14" s="53">
        <f>'Gr. B res'!J18</f>
        <v>3</v>
      </c>
      <c r="Q14" s="53">
        <f>'Gr. B res'!K18</f>
        <v>0</v>
      </c>
      <c r="R14" s="53">
        <f>'Gr. B res'!L18</f>
        <v>7</v>
      </c>
      <c r="S14" s="53">
        <f>'Gr. B res'!M18</f>
        <v>15</v>
      </c>
      <c r="T14" s="53">
        <f>'Gr. B res'!N18</f>
        <v>22</v>
      </c>
      <c r="U14" s="53">
        <f>'Gr. B res'!O18</f>
        <v>-7</v>
      </c>
      <c r="V14" s="52">
        <f>'Gr. B res'!P18</f>
        <v>9</v>
      </c>
    </row>
    <row r="15" spans="1:49" s="46" customFormat="1" ht="20.399999999999999" customHeight="1" x14ac:dyDescent="0.3">
      <c r="B15" s="69">
        <v>5</v>
      </c>
      <c r="C15" s="56" t="str">
        <f>'Gr. A res'!H20</f>
        <v>FC Sandkagen</v>
      </c>
      <c r="D15" s="57">
        <f>'Gr. A res'!I20</f>
        <v>12</v>
      </c>
      <c r="E15" s="57">
        <f>'Gr. A res'!J20</f>
        <v>2</v>
      </c>
      <c r="F15" s="57">
        <f>'Gr. A res'!K20</f>
        <v>2</v>
      </c>
      <c r="G15" s="57">
        <f>'Gr. A res'!L20</f>
        <v>8</v>
      </c>
      <c r="H15" s="57">
        <f>'Gr. A res'!M20</f>
        <v>12</v>
      </c>
      <c r="I15" s="57">
        <f>'Gr. A res'!N20</f>
        <v>40</v>
      </c>
      <c r="J15" s="57">
        <f>'Gr. A res'!O20</f>
        <v>-28</v>
      </c>
      <c r="K15" s="56">
        <f>'Gr. A res'!P20</f>
        <v>8</v>
      </c>
      <c r="M15" s="69">
        <v>5</v>
      </c>
      <c r="N15" s="56" t="str">
        <f>'Gr. B res'!H19</f>
        <v>Paider</v>
      </c>
      <c r="O15" s="57">
        <f>'Gr. B res'!I19</f>
        <v>10</v>
      </c>
      <c r="P15" s="57">
        <f>'Gr. B res'!J19</f>
        <v>1</v>
      </c>
      <c r="Q15" s="57">
        <f>'Gr. B res'!K19</f>
        <v>4</v>
      </c>
      <c r="R15" s="57">
        <f>'Gr. B res'!L19</f>
        <v>5</v>
      </c>
      <c r="S15" s="57">
        <f>'Gr. B res'!M19</f>
        <v>13</v>
      </c>
      <c r="T15" s="57">
        <f>'Gr. B res'!N19</f>
        <v>19</v>
      </c>
      <c r="U15" s="57">
        <f>'Gr. B res'!O19</f>
        <v>-6</v>
      </c>
      <c r="V15" s="56">
        <f>'Gr. B res'!P19</f>
        <v>7</v>
      </c>
    </row>
    <row r="16" spans="1:49" s="46" customFormat="1" ht="20.399999999999999" customHeight="1" x14ac:dyDescent="0.3">
      <c r="B16" s="69">
        <v>6</v>
      </c>
      <c r="C16" s="56" t="str">
        <f>'Gr. A res'!H21</f>
        <v>Tobby</v>
      </c>
      <c r="D16" s="57">
        <f>'Gr. A res'!I21</f>
        <v>12</v>
      </c>
      <c r="E16" s="57">
        <f>'Gr. A res'!J21</f>
        <v>1</v>
      </c>
      <c r="F16" s="57">
        <f>'Gr. A res'!K21</f>
        <v>3</v>
      </c>
      <c r="G16" s="57">
        <f>'Gr. A res'!L21</f>
        <v>8</v>
      </c>
      <c r="H16" s="57">
        <f>'Gr. A res'!M21</f>
        <v>13</v>
      </c>
      <c r="I16" s="57">
        <f>'Gr. A res'!N21</f>
        <v>31</v>
      </c>
      <c r="J16" s="57">
        <f>'Gr. A res'!O21</f>
        <v>-18</v>
      </c>
      <c r="K16" s="56">
        <f>'Gr. A res'!P21</f>
        <v>6</v>
      </c>
      <c r="M16" s="69">
        <v>6</v>
      </c>
      <c r="N16" s="56" t="str">
        <f>'Gr. B res'!H20</f>
        <v>GoaGuru</v>
      </c>
      <c r="O16" s="57">
        <f>'Gr. B res'!I20</f>
        <v>10</v>
      </c>
      <c r="P16" s="57">
        <f>'Gr. B res'!J20</f>
        <v>0</v>
      </c>
      <c r="Q16" s="57">
        <f>'Gr. B res'!K20</f>
        <v>3</v>
      </c>
      <c r="R16" s="57">
        <f>'Gr. B res'!L20</f>
        <v>7</v>
      </c>
      <c r="S16" s="57">
        <f>'Gr. B res'!M20</f>
        <v>9</v>
      </c>
      <c r="T16" s="57">
        <f>'Gr. B res'!N20</f>
        <v>24</v>
      </c>
      <c r="U16" s="57">
        <f>'Gr. B res'!O20</f>
        <v>-15</v>
      </c>
      <c r="V16" s="56">
        <f>'Gr. B res'!P20</f>
        <v>3</v>
      </c>
    </row>
    <row r="17" spans="2:22" s="46" customFormat="1" ht="20.399999999999999" customHeight="1" x14ac:dyDescent="0.3">
      <c r="B17" s="69">
        <v>7</v>
      </c>
      <c r="C17" s="56" t="str">
        <f>'Gr. A res'!H22</f>
        <v>Cheval</v>
      </c>
      <c r="D17" s="57">
        <f>'Gr. A res'!I22</f>
        <v>12</v>
      </c>
      <c r="E17" s="57">
        <f>'Gr. A res'!J22</f>
        <v>1</v>
      </c>
      <c r="F17" s="57">
        <f>'Gr. A res'!K22</f>
        <v>1</v>
      </c>
      <c r="G17" s="57">
        <f>'Gr. A res'!L22</f>
        <v>10</v>
      </c>
      <c r="H17" s="57">
        <f>'Gr. A res'!M22</f>
        <v>10</v>
      </c>
      <c r="I17" s="57">
        <f>'Gr. A res'!N22</f>
        <v>51</v>
      </c>
      <c r="J17" s="57">
        <f>'Gr. A res'!O22</f>
        <v>-41</v>
      </c>
      <c r="K17" s="56">
        <f>'Gr. A res'!P22</f>
        <v>4</v>
      </c>
    </row>
    <row r="18" spans="2:22" s="46" customFormat="1" ht="20.399999999999999" customHeight="1" x14ac:dyDescent="0.3"/>
    <row r="19" spans="2:22" s="46" customFormat="1" ht="20.399999999999999" customHeight="1" thickBot="1" x14ac:dyDescent="0.35"/>
    <row r="20" spans="2:22" s="46" customFormat="1" ht="22.95" customHeight="1" thickTop="1" thickBot="1" x14ac:dyDescent="0.35">
      <c r="B20" s="68"/>
      <c r="C20" s="219" t="s">
        <v>76</v>
      </c>
      <c r="D20" s="219"/>
      <c r="E20" s="219"/>
      <c r="F20" s="219"/>
      <c r="G20" s="219"/>
      <c r="H20" s="219"/>
      <c r="I20" s="219"/>
      <c r="J20" s="219"/>
      <c r="K20" s="219"/>
      <c r="M20" s="68"/>
      <c r="N20" s="219" t="s">
        <v>77</v>
      </c>
      <c r="O20" s="219"/>
      <c r="P20" s="219"/>
      <c r="Q20" s="219"/>
      <c r="R20" s="219"/>
      <c r="S20" s="219"/>
      <c r="T20" s="219"/>
      <c r="U20" s="219"/>
      <c r="V20" s="219"/>
    </row>
    <row r="21" spans="2:22" s="46" customFormat="1" ht="22.95" customHeight="1" thickTop="1" x14ac:dyDescent="0.3">
      <c r="B21" s="68"/>
      <c r="C21" s="66" t="s">
        <v>35</v>
      </c>
      <c r="D21" s="66" t="s">
        <v>71</v>
      </c>
      <c r="E21" s="66" t="s">
        <v>52</v>
      </c>
      <c r="F21" s="66" t="s">
        <v>53</v>
      </c>
      <c r="G21" s="66" t="s">
        <v>54</v>
      </c>
      <c r="H21" s="66" t="s">
        <v>55</v>
      </c>
      <c r="I21" s="66" t="s">
        <v>56</v>
      </c>
      <c r="J21" s="67" t="s">
        <v>72</v>
      </c>
      <c r="K21" s="66" t="s">
        <v>73</v>
      </c>
      <c r="M21" s="68"/>
      <c r="N21" s="66" t="s">
        <v>35</v>
      </c>
      <c r="O21" s="66" t="s">
        <v>71</v>
      </c>
      <c r="P21" s="66" t="s">
        <v>52</v>
      </c>
      <c r="Q21" s="66" t="s">
        <v>53</v>
      </c>
      <c r="R21" s="66" t="s">
        <v>54</v>
      </c>
      <c r="S21" s="66" t="s">
        <v>55</v>
      </c>
      <c r="T21" s="66" t="s">
        <v>56</v>
      </c>
      <c r="U21" s="67" t="s">
        <v>72</v>
      </c>
      <c r="V21" s="66" t="s">
        <v>73</v>
      </c>
    </row>
    <row r="22" spans="2:22" s="46" customFormat="1" ht="20.399999999999999" customHeight="1" x14ac:dyDescent="0.3">
      <c r="B22" s="69">
        <v>1</v>
      </c>
      <c r="C22" s="54" t="str">
        <f>'Gr. C res'!H15</f>
        <v>Lobo</v>
      </c>
      <c r="D22" s="55">
        <f>'Gr. C res'!I15</f>
        <v>10</v>
      </c>
      <c r="E22" s="55">
        <f>'Gr. C res'!J15</f>
        <v>9</v>
      </c>
      <c r="F22" s="55">
        <f>'Gr. C res'!K15</f>
        <v>0</v>
      </c>
      <c r="G22" s="55">
        <f>'Gr. C res'!L15</f>
        <v>1</v>
      </c>
      <c r="H22" s="55">
        <f>'Gr. C res'!M15</f>
        <v>33</v>
      </c>
      <c r="I22" s="55">
        <f>'Gr. C res'!N15</f>
        <v>8</v>
      </c>
      <c r="J22" s="55">
        <f>'Gr. C res'!O15</f>
        <v>25</v>
      </c>
      <c r="K22" s="54">
        <f>'Gr. C res'!P15</f>
        <v>27</v>
      </c>
      <c r="M22" s="69">
        <v>1</v>
      </c>
      <c r="N22" s="54" t="str">
        <f>'Gr. D res'!H15</f>
        <v>bobbiebobras</v>
      </c>
      <c r="O22" s="55">
        <f>'Gr. D res'!I15</f>
        <v>10</v>
      </c>
      <c r="P22" s="55">
        <f>'Gr. D res'!J15</f>
        <v>9</v>
      </c>
      <c r="Q22" s="55">
        <f>'Gr. D res'!K15</f>
        <v>0</v>
      </c>
      <c r="R22" s="55">
        <f>'Gr. D res'!L15</f>
        <v>1</v>
      </c>
      <c r="S22" s="55">
        <f>'Gr. D res'!M15</f>
        <v>37</v>
      </c>
      <c r="T22" s="55">
        <f>'Gr. D res'!N15</f>
        <v>7</v>
      </c>
      <c r="U22" s="55">
        <f>'Gr. D res'!O15</f>
        <v>30</v>
      </c>
      <c r="V22" s="54">
        <f>'Gr. D res'!P15</f>
        <v>27</v>
      </c>
    </row>
    <row r="23" spans="2:22" s="46" customFormat="1" ht="20.399999999999999" customHeight="1" x14ac:dyDescent="0.3">
      <c r="B23" s="69">
        <v>2</v>
      </c>
      <c r="C23" s="50" t="str">
        <f>'Gr. C res'!H16</f>
        <v>Blazej</v>
      </c>
      <c r="D23" s="51">
        <f>'Gr. C res'!I16</f>
        <v>10</v>
      </c>
      <c r="E23" s="51">
        <f>'Gr. C res'!J16</f>
        <v>9</v>
      </c>
      <c r="F23" s="51">
        <f>'Gr. C res'!K16</f>
        <v>0</v>
      </c>
      <c r="G23" s="51">
        <f>'Gr. C res'!L16</f>
        <v>1</v>
      </c>
      <c r="H23" s="51">
        <f>'Gr. C res'!M16</f>
        <v>29</v>
      </c>
      <c r="I23" s="51">
        <f>'Gr. C res'!N16</f>
        <v>6</v>
      </c>
      <c r="J23" s="51">
        <f>'Gr. C res'!O16</f>
        <v>23</v>
      </c>
      <c r="K23" s="50">
        <f>'Gr. C res'!P16</f>
        <v>27</v>
      </c>
      <c r="M23" s="69">
        <v>2</v>
      </c>
      <c r="N23" s="50" t="str">
        <f>'Gr. D res'!H16</f>
        <v>ElMichaJ</v>
      </c>
      <c r="O23" s="51">
        <f>'Gr. D res'!I16</f>
        <v>10</v>
      </c>
      <c r="P23" s="51">
        <f>'Gr. D res'!J16</f>
        <v>8</v>
      </c>
      <c r="Q23" s="51">
        <f>'Gr. D res'!K16</f>
        <v>0</v>
      </c>
      <c r="R23" s="51">
        <f>'Gr. D res'!L16</f>
        <v>2</v>
      </c>
      <c r="S23" s="51">
        <f>'Gr. D res'!M16</f>
        <v>32</v>
      </c>
      <c r="T23" s="51">
        <f>'Gr. D res'!N16</f>
        <v>8</v>
      </c>
      <c r="U23" s="51">
        <f>'Gr. D res'!O16</f>
        <v>24</v>
      </c>
      <c r="V23" s="50">
        <f>'Gr. D res'!P16</f>
        <v>24</v>
      </c>
    </row>
    <row r="24" spans="2:22" s="46" customFormat="1" ht="20.399999999999999" customHeight="1" x14ac:dyDescent="0.3">
      <c r="B24" s="69">
        <v>3</v>
      </c>
      <c r="C24" s="52" t="str">
        <f>'Gr. C res'!H17</f>
        <v>xflea</v>
      </c>
      <c r="D24" s="53">
        <f>'Gr. C res'!I17</f>
        <v>10</v>
      </c>
      <c r="E24" s="53">
        <f>'Gr. C res'!J17</f>
        <v>4</v>
      </c>
      <c r="F24" s="53">
        <f>'Gr. C res'!K17</f>
        <v>0</v>
      </c>
      <c r="G24" s="53">
        <f>'Gr. C res'!L17</f>
        <v>6</v>
      </c>
      <c r="H24" s="53">
        <f>'Gr. C res'!M17</f>
        <v>15</v>
      </c>
      <c r="I24" s="53">
        <f>'Gr. C res'!N17</f>
        <v>24</v>
      </c>
      <c r="J24" s="53">
        <f>'Gr. C res'!O17</f>
        <v>-9</v>
      </c>
      <c r="K24" s="52">
        <f>'Gr. C res'!P17</f>
        <v>12</v>
      </c>
      <c r="M24" s="69">
        <v>3</v>
      </c>
      <c r="N24" s="52" t="str">
        <f>'Gr. D res'!H17</f>
        <v>Klinki</v>
      </c>
      <c r="O24" s="53">
        <f>'Gr. D res'!I17</f>
        <v>10</v>
      </c>
      <c r="P24" s="53">
        <f>'Gr. D res'!J17</f>
        <v>4</v>
      </c>
      <c r="Q24" s="53">
        <f>'Gr. D res'!K17</f>
        <v>2</v>
      </c>
      <c r="R24" s="53">
        <f>'Gr. D res'!L17</f>
        <v>4</v>
      </c>
      <c r="S24" s="53">
        <f>'Gr. D res'!M17</f>
        <v>12</v>
      </c>
      <c r="T24" s="53">
        <f>'Gr. D res'!N17</f>
        <v>24</v>
      </c>
      <c r="U24" s="53">
        <f>'Gr. D res'!O17</f>
        <v>-12</v>
      </c>
      <c r="V24" s="52">
        <f>'Gr. D res'!P17</f>
        <v>14</v>
      </c>
    </row>
    <row r="25" spans="2:22" s="46" customFormat="1" ht="20.399999999999999" customHeight="1" x14ac:dyDescent="0.3">
      <c r="B25" s="69">
        <v>4</v>
      </c>
      <c r="C25" s="52" t="str">
        <f>'Gr. C res'!H18</f>
        <v>Szeszesek</v>
      </c>
      <c r="D25" s="53">
        <f>'Gr. C res'!I18</f>
        <v>10</v>
      </c>
      <c r="E25" s="53">
        <f>'Gr. C res'!J18</f>
        <v>3</v>
      </c>
      <c r="F25" s="53">
        <f>'Gr. C res'!K18</f>
        <v>1</v>
      </c>
      <c r="G25" s="53">
        <f>'Gr. C res'!L18</f>
        <v>6</v>
      </c>
      <c r="H25" s="53">
        <f>'Gr. C res'!M18</f>
        <v>11</v>
      </c>
      <c r="I25" s="53">
        <f>'Gr. C res'!N18</f>
        <v>13</v>
      </c>
      <c r="J25" s="53">
        <f>'Gr. C res'!O18</f>
        <v>-2</v>
      </c>
      <c r="K25" s="52">
        <f>'Gr. C res'!P18</f>
        <v>10</v>
      </c>
      <c r="M25" s="69">
        <v>4</v>
      </c>
      <c r="N25" s="52" t="str">
        <f>'Gr. D res'!H18</f>
        <v>Ruhbi</v>
      </c>
      <c r="O25" s="53">
        <f>'Gr. D res'!I18</f>
        <v>10</v>
      </c>
      <c r="P25" s="53">
        <f>'Gr. D res'!J18</f>
        <v>4</v>
      </c>
      <c r="Q25" s="53">
        <f>'Gr. D res'!K18</f>
        <v>0</v>
      </c>
      <c r="R25" s="53">
        <f>'Gr. D res'!L18</f>
        <v>6</v>
      </c>
      <c r="S25" s="53">
        <f>'Gr. D res'!M18</f>
        <v>15</v>
      </c>
      <c r="T25" s="53">
        <f>'Gr. D res'!N18</f>
        <v>18</v>
      </c>
      <c r="U25" s="53">
        <f>'Gr. D res'!O18</f>
        <v>-3</v>
      </c>
      <c r="V25" s="52">
        <f>'Gr. D res'!P18</f>
        <v>12</v>
      </c>
    </row>
    <row r="26" spans="2:22" s="46" customFormat="1" ht="20.399999999999999" customHeight="1" x14ac:dyDescent="0.3">
      <c r="B26" s="69">
        <v>5</v>
      </c>
      <c r="C26" s="56" t="str">
        <f>'Gr. C res'!H19</f>
        <v>Leoninho</v>
      </c>
      <c r="D26" s="57">
        <f>'Gr. C res'!I19</f>
        <v>10</v>
      </c>
      <c r="E26" s="57">
        <f>'Gr. C res'!J19</f>
        <v>2</v>
      </c>
      <c r="F26" s="57">
        <f>'Gr. C res'!K19</f>
        <v>1</v>
      </c>
      <c r="G26" s="57">
        <f>'Gr. C res'!L19</f>
        <v>7</v>
      </c>
      <c r="H26" s="57">
        <f>'Gr. C res'!M19</f>
        <v>8</v>
      </c>
      <c r="I26" s="57">
        <f>'Gr. C res'!N19</f>
        <v>27</v>
      </c>
      <c r="J26" s="57">
        <f>'Gr. C res'!O19</f>
        <v>-19</v>
      </c>
      <c r="K26" s="56">
        <f>'Gr. C res'!P19</f>
        <v>7</v>
      </c>
      <c r="M26" s="69">
        <v>5</v>
      </c>
      <c r="N26" s="56" t="str">
        <f>'Gr. D res'!H19</f>
        <v>FRK Pawel</v>
      </c>
      <c r="O26" s="57">
        <f>'Gr. D res'!I19</f>
        <v>10</v>
      </c>
      <c r="P26" s="57">
        <f>'Gr. D res'!J19</f>
        <v>3</v>
      </c>
      <c r="Q26" s="57">
        <f>'Gr. D res'!K19</f>
        <v>2</v>
      </c>
      <c r="R26" s="57">
        <f>'Gr. D res'!L19</f>
        <v>5</v>
      </c>
      <c r="S26" s="57">
        <f>'Gr. D res'!M19</f>
        <v>11</v>
      </c>
      <c r="T26" s="57">
        <f>'Gr. D res'!N19</f>
        <v>21</v>
      </c>
      <c r="U26" s="57">
        <f>'Gr. D res'!O19</f>
        <v>-10</v>
      </c>
      <c r="V26" s="56">
        <f>'Gr. D res'!P19</f>
        <v>11</v>
      </c>
    </row>
    <row r="27" spans="2:22" s="46" customFormat="1" ht="20.399999999999999" customHeight="1" x14ac:dyDescent="0.3">
      <c r="B27" s="69">
        <v>6</v>
      </c>
      <c r="C27" s="56" t="str">
        <f>'Gr. C res'!H20</f>
        <v>Egebjerg Luxus</v>
      </c>
      <c r="D27" s="57">
        <f>'Gr. C res'!I20</f>
        <v>10</v>
      </c>
      <c r="E27" s="57">
        <f>'Gr. C res'!J20</f>
        <v>2</v>
      </c>
      <c r="F27" s="57">
        <f>'Gr. C res'!K20</f>
        <v>0</v>
      </c>
      <c r="G27" s="57">
        <f>'Gr. C res'!L20</f>
        <v>8</v>
      </c>
      <c r="H27" s="57">
        <f>'Gr. C res'!M20</f>
        <v>10</v>
      </c>
      <c r="I27" s="57">
        <f>'Gr. C res'!N20</f>
        <v>28</v>
      </c>
      <c r="J27" s="57">
        <f>'Gr. C res'!O20</f>
        <v>-18</v>
      </c>
      <c r="K27" s="56">
        <f>'Gr. C res'!P20</f>
        <v>6</v>
      </c>
      <c r="M27" s="69">
        <v>6</v>
      </c>
      <c r="N27" s="56" t="str">
        <f>'Gr. D res'!H20</f>
        <v>DefenseMutte</v>
      </c>
      <c r="O27" s="57">
        <f>'Gr. D res'!I20</f>
        <v>10</v>
      </c>
      <c r="P27" s="57">
        <f>'Gr. D res'!J20</f>
        <v>0</v>
      </c>
      <c r="Q27" s="57">
        <f>'Gr. D res'!K20</f>
        <v>0</v>
      </c>
      <c r="R27" s="57">
        <f>'Gr. D res'!L20</f>
        <v>10</v>
      </c>
      <c r="S27" s="57">
        <f>'Gr. D res'!M20</f>
        <v>4</v>
      </c>
      <c r="T27" s="57">
        <f>'Gr. D res'!N20</f>
        <v>33</v>
      </c>
      <c r="U27" s="57">
        <f>'Gr. D res'!O20</f>
        <v>-29</v>
      </c>
      <c r="V27" s="56">
        <f>'Gr. D res'!P20</f>
        <v>0</v>
      </c>
    </row>
    <row r="28" spans="2:22" s="46" customFormat="1" ht="20.399999999999999" customHeight="1" x14ac:dyDescent="0.3"/>
    <row r="29" spans="2:22" s="46" customFormat="1" ht="20.399999999999999" customHeight="1" thickBot="1" x14ac:dyDescent="0.35"/>
    <row r="30" spans="2:22" s="46" customFormat="1" ht="22.95" customHeight="1" thickTop="1" thickBot="1" x14ac:dyDescent="0.35">
      <c r="B30" s="68"/>
      <c r="C30" s="219" t="s">
        <v>78</v>
      </c>
      <c r="D30" s="219"/>
      <c r="E30" s="219"/>
      <c r="F30" s="219"/>
      <c r="G30" s="219"/>
      <c r="H30" s="219"/>
      <c r="I30" s="219"/>
      <c r="J30" s="219"/>
      <c r="K30" s="219"/>
      <c r="M30" s="68"/>
      <c r="N30" s="219" t="s">
        <v>79</v>
      </c>
      <c r="O30" s="219"/>
      <c r="P30" s="219"/>
      <c r="Q30" s="219"/>
      <c r="R30" s="219"/>
      <c r="S30" s="219"/>
      <c r="T30" s="219"/>
      <c r="U30" s="219"/>
      <c r="V30" s="219"/>
    </row>
    <row r="31" spans="2:22" s="46" customFormat="1" ht="22.95" customHeight="1" thickTop="1" x14ac:dyDescent="0.3">
      <c r="B31" s="68"/>
      <c r="C31" s="66" t="s">
        <v>35</v>
      </c>
      <c r="D31" s="66" t="s">
        <v>71</v>
      </c>
      <c r="E31" s="66" t="s">
        <v>52</v>
      </c>
      <c r="F31" s="66" t="s">
        <v>53</v>
      </c>
      <c r="G31" s="66" t="s">
        <v>54</v>
      </c>
      <c r="H31" s="66" t="s">
        <v>55</v>
      </c>
      <c r="I31" s="66" t="s">
        <v>56</v>
      </c>
      <c r="J31" s="67" t="s">
        <v>72</v>
      </c>
      <c r="K31" s="66" t="s">
        <v>73</v>
      </c>
      <c r="M31" s="68"/>
      <c r="N31" s="66" t="s">
        <v>35</v>
      </c>
      <c r="O31" s="66" t="s">
        <v>71</v>
      </c>
      <c r="P31" s="66" t="s">
        <v>52</v>
      </c>
      <c r="Q31" s="66" t="s">
        <v>53</v>
      </c>
      <c r="R31" s="66" t="s">
        <v>54</v>
      </c>
      <c r="S31" s="66" t="s">
        <v>55</v>
      </c>
      <c r="T31" s="66" t="s">
        <v>56</v>
      </c>
      <c r="U31" s="67" t="s">
        <v>72</v>
      </c>
      <c r="V31" s="66" t="s">
        <v>73</v>
      </c>
    </row>
    <row r="32" spans="2:22" s="46" customFormat="1" ht="20.399999999999999" customHeight="1" x14ac:dyDescent="0.3">
      <c r="B32" s="69">
        <v>1</v>
      </c>
      <c r="C32" s="54" t="str">
        <f>'Gr. E res'!H15</f>
        <v>Playaveli</v>
      </c>
      <c r="D32" s="55">
        <f>'Gr. E res'!I15</f>
        <v>10</v>
      </c>
      <c r="E32" s="55">
        <f>'Gr. E res'!J15</f>
        <v>9</v>
      </c>
      <c r="F32" s="55">
        <f>'Gr. E res'!K15</f>
        <v>1</v>
      </c>
      <c r="G32" s="55">
        <f>'Gr. E res'!L15</f>
        <v>0</v>
      </c>
      <c r="H32" s="55">
        <f>'Gr. E res'!M15</f>
        <v>35</v>
      </c>
      <c r="I32" s="55">
        <f>'Gr. E res'!N15</f>
        <v>6</v>
      </c>
      <c r="J32" s="55">
        <f>'Gr. E res'!O15</f>
        <v>29</v>
      </c>
      <c r="K32" s="54">
        <f>'Gr. E res'!P15</f>
        <v>28</v>
      </c>
      <c r="M32" s="69">
        <v>1</v>
      </c>
      <c r="N32" s="54" t="str">
        <f>'Gr. F res'!H15</f>
        <v>AbelXavier</v>
      </c>
      <c r="O32" s="55">
        <f>'Gr. F res'!I15</f>
        <v>10</v>
      </c>
      <c r="P32" s="55">
        <f>'Gr. F res'!J15</f>
        <v>7</v>
      </c>
      <c r="Q32" s="55">
        <f>'Gr. F res'!K15</f>
        <v>1</v>
      </c>
      <c r="R32" s="55">
        <f>'Gr. F res'!L15</f>
        <v>2</v>
      </c>
      <c r="S32" s="55">
        <f>'Gr. F res'!M15</f>
        <v>23</v>
      </c>
      <c r="T32" s="55">
        <f>'Gr. F res'!N15</f>
        <v>6</v>
      </c>
      <c r="U32" s="55">
        <f>'Gr. F res'!O15</f>
        <v>17</v>
      </c>
      <c r="V32" s="54">
        <f>'Gr. F res'!P15</f>
        <v>22</v>
      </c>
    </row>
    <row r="33" spans="2:22" s="46" customFormat="1" ht="20.399999999999999" customHeight="1" x14ac:dyDescent="0.3">
      <c r="B33" s="69">
        <v>2</v>
      </c>
      <c r="C33" s="50" t="str">
        <f>'Gr. E res'!H16</f>
        <v>Hawkz</v>
      </c>
      <c r="D33" s="51">
        <f>'Gr. E res'!I16</f>
        <v>10</v>
      </c>
      <c r="E33" s="51">
        <f>'Gr. E res'!J16</f>
        <v>7</v>
      </c>
      <c r="F33" s="51">
        <f>'Gr. E res'!K16</f>
        <v>1</v>
      </c>
      <c r="G33" s="51">
        <f>'Gr. E res'!L16</f>
        <v>2</v>
      </c>
      <c r="H33" s="51">
        <f>'Gr. E res'!M16</f>
        <v>30</v>
      </c>
      <c r="I33" s="51">
        <f>'Gr. E res'!N16</f>
        <v>15</v>
      </c>
      <c r="J33" s="51">
        <f>'Gr. E res'!O16</f>
        <v>15</v>
      </c>
      <c r="K33" s="50">
        <f>'Gr. E res'!P16</f>
        <v>22</v>
      </c>
      <c r="M33" s="69">
        <v>2</v>
      </c>
      <c r="N33" s="50" t="str">
        <f>'Gr. F res'!H16</f>
        <v>Andib</v>
      </c>
      <c r="O33" s="51">
        <f>'Gr. F res'!I16</f>
        <v>10</v>
      </c>
      <c r="P33" s="51">
        <f>'Gr. F res'!J16</f>
        <v>7</v>
      </c>
      <c r="Q33" s="51">
        <f>'Gr. F res'!K16</f>
        <v>1</v>
      </c>
      <c r="R33" s="51">
        <f>'Gr. F res'!L16</f>
        <v>2</v>
      </c>
      <c r="S33" s="51">
        <f>'Gr. F res'!M16</f>
        <v>23</v>
      </c>
      <c r="T33" s="51">
        <f>'Gr. F res'!N16</f>
        <v>6</v>
      </c>
      <c r="U33" s="51">
        <f>'Gr. F res'!O16</f>
        <v>17</v>
      </c>
      <c r="V33" s="50">
        <f>'Gr. F res'!P16</f>
        <v>22</v>
      </c>
    </row>
    <row r="34" spans="2:22" s="46" customFormat="1" ht="20.399999999999999" customHeight="1" x14ac:dyDescent="0.3">
      <c r="B34" s="69">
        <v>3</v>
      </c>
      <c r="C34" s="52" t="str">
        <f>'Gr. E res'!H17</f>
        <v>Foka</v>
      </c>
      <c r="D34" s="53">
        <f>'Gr. E res'!I17</f>
        <v>10</v>
      </c>
      <c r="E34" s="53">
        <f>'Gr. E res'!J17</f>
        <v>5</v>
      </c>
      <c r="F34" s="53">
        <f>'Gr. E res'!K17</f>
        <v>1</v>
      </c>
      <c r="G34" s="53">
        <f>'Gr. E res'!L17</f>
        <v>4</v>
      </c>
      <c r="H34" s="53">
        <f>'Gr. E res'!M17</f>
        <v>22</v>
      </c>
      <c r="I34" s="53">
        <f>'Gr. E res'!N17</f>
        <v>19</v>
      </c>
      <c r="J34" s="53">
        <f>'Gr. E res'!O17</f>
        <v>3</v>
      </c>
      <c r="K34" s="52">
        <f>'Gr. E res'!P17</f>
        <v>16</v>
      </c>
      <c r="M34" s="69">
        <v>3</v>
      </c>
      <c r="N34" s="52" t="str">
        <f>'Gr. F res'!H17</f>
        <v>Cinek</v>
      </c>
      <c r="O34" s="53">
        <f>'Gr. F res'!I17</f>
        <v>10</v>
      </c>
      <c r="P34" s="53">
        <f>'Gr. F res'!J17</f>
        <v>6</v>
      </c>
      <c r="Q34" s="53">
        <f>'Gr. F res'!K17</f>
        <v>1</v>
      </c>
      <c r="R34" s="53">
        <f>'Gr. F res'!L17</f>
        <v>3</v>
      </c>
      <c r="S34" s="53">
        <f>'Gr. F res'!M17</f>
        <v>16</v>
      </c>
      <c r="T34" s="53">
        <f>'Gr. F res'!N17</f>
        <v>13</v>
      </c>
      <c r="U34" s="53">
        <f>'Gr. F res'!O17</f>
        <v>3</v>
      </c>
      <c r="V34" s="52">
        <f>'Gr. F res'!P17</f>
        <v>19</v>
      </c>
    </row>
    <row r="35" spans="2:22" s="46" customFormat="1" ht="20.399999999999999" customHeight="1" x14ac:dyDescent="0.3">
      <c r="B35" s="69">
        <v>4</v>
      </c>
      <c r="C35" s="52" t="str">
        <f>'Gr. E res'!H18</f>
        <v>Dior</v>
      </c>
      <c r="D35" s="53">
        <f>'Gr. E res'!I18</f>
        <v>10</v>
      </c>
      <c r="E35" s="53">
        <f>'Gr. E res'!J18</f>
        <v>4</v>
      </c>
      <c r="F35" s="53">
        <f>'Gr. E res'!K18</f>
        <v>1</v>
      </c>
      <c r="G35" s="53">
        <f>'Gr. E res'!L18</f>
        <v>5</v>
      </c>
      <c r="H35" s="53">
        <f>'Gr. E res'!M18</f>
        <v>16</v>
      </c>
      <c r="I35" s="53">
        <f>'Gr. E res'!N18</f>
        <v>20</v>
      </c>
      <c r="J35" s="53">
        <f>'Gr. E res'!O18</f>
        <v>-4</v>
      </c>
      <c r="K35" s="52">
        <f>'Gr. E res'!P18</f>
        <v>13</v>
      </c>
      <c r="M35" s="69">
        <v>4</v>
      </c>
      <c r="N35" s="52" t="str">
        <f>'Gr. F res'!H18</f>
        <v>Team Oelkohold</v>
      </c>
      <c r="O35" s="53">
        <f>'Gr. F res'!I18</f>
        <v>10</v>
      </c>
      <c r="P35" s="53">
        <f>'Gr. F res'!J18</f>
        <v>4</v>
      </c>
      <c r="Q35" s="53">
        <f>'Gr. F res'!K18</f>
        <v>1</v>
      </c>
      <c r="R35" s="53">
        <f>'Gr. F res'!L18</f>
        <v>5</v>
      </c>
      <c r="S35" s="53">
        <f>'Gr. F res'!M18</f>
        <v>17</v>
      </c>
      <c r="T35" s="53">
        <f>'Gr. F res'!N18</f>
        <v>17</v>
      </c>
      <c r="U35" s="53">
        <f>'Gr. F res'!O18</f>
        <v>0</v>
      </c>
      <c r="V35" s="52">
        <f>'Gr. F res'!P18</f>
        <v>13</v>
      </c>
    </row>
    <row r="36" spans="2:22" s="46" customFormat="1" ht="20.399999999999999" customHeight="1" x14ac:dyDescent="0.3">
      <c r="B36" s="69">
        <v>5</v>
      </c>
      <c r="C36" s="56" t="str">
        <f>'Gr. E res'!H19</f>
        <v>DoTa</v>
      </c>
      <c r="D36" s="57">
        <f>'Gr. E res'!I19</f>
        <v>10</v>
      </c>
      <c r="E36" s="57">
        <f>'Gr. E res'!J19</f>
        <v>2</v>
      </c>
      <c r="F36" s="57">
        <f>'Gr. E res'!K19</f>
        <v>0</v>
      </c>
      <c r="G36" s="57">
        <f>'Gr. E res'!L19</f>
        <v>8</v>
      </c>
      <c r="H36" s="57">
        <f>'Gr. E res'!M19</f>
        <v>13</v>
      </c>
      <c r="I36" s="57">
        <f>'Gr. E res'!N19</f>
        <v>30</v>
      </c>
      <c r="J36" s="57">
        <f>'Gr. E res'!O19</f>
        <v>-17</v>
      </c>
      <c r="K36" s="56">
        <f>'Gr. E res'!P19</f>
        <v>6</v>
      </c>
      <c r="M36" s="69">
        <v>5</v>
      </c>
      <c r="N36" s="56" t="str">
        <f>'Gr. F res'!H19</f>
        <v>Dennis</v>
      </c>
      <c r="O36" s="57">
        <f>'Gr. F res'!I19</f>
        <v>10</v>
      </c>
      <c r="P36" s="57">
        <f>'Gr. F res'!J19</f>
        <v>4</v>
      </c>
      <c r="Q36" s="57">
        <f>'Gr. F res'!K19</f>
        <v>0</v>
      </c>
      <c r="R36" s="57">
        <f>'Gr. F res'!L19</f>
        <v>6</v>
      </c>
      <c r="S36" s="57">
        <f>'Gr. F res'!M19</f>
        <v>12</v>
      </c>
      <c r="T36" s="57">
        <f>'Gr. F res'!N19</f>
        <v>18</v>
      </c>
      <c r="U36" s="57">
        <f>'Gr. F res'!O19</f>
        <v>-6</v>
      </c>
      <c r="V36" s="56">
        <f>'Gr. F res'!P19</f>
        <v>12</v>
      </c>
    </row>
    <row r="37" spans="2:22" s="46" customFormat="1" ht="20.399999999999999" customHeight="1" x14ac:dyDescent="0.3">
      <c r="B37" s="69">
        <v>6</v>
      </c>
      <c r="C37" s="56" t="str">
        <f>'Gr. E res'!H20</f>
        <v>Caniggia11</v>
      </c>
      <c r="D37" s="57">
        <f>'Gr. E res'!I20</f>
        <v>10</v>
      </c>
      <c r="E37" s="57">
        <f>'Gr. E res'!J20</f>
        <v>1</v>
      </c>
      <c r="F37" s="57">
        <f>'Gr. E res'!K20</f>
        <v>0</v>
      </c>
      <c r="G37" s="57">
        <f>'Gr. E res'!L20</f>
        <v>9</v>
      </c>
      <c r="H37" s="57">
        <f>'Gr. E res'!M20</f>
        <v>9</v>
      </c>
      <c r="I37" s="57">
        <f>'Gr. E res'!N20</f>
        <v>35</v>
      </c>
      <c r="J37" s="57">
        <f>'Gr. E res'!O20</f>
        <v>-26</v>
      </c>
      <c r="K37" s="56">
        <f>'Gr. E res'!P20</f>
        <v>3</v>
      </c>
      <c r="M37" s="69">
        <v>6</v>
      </c>
      <c r="N37" s="56" t="str">
        <f>'Gr. F res'!H20</f>
        <v>Enbino</v>
      </c>
      <c r="O37" s="57">
        <f>'Gr. F res'!I20</f>
        <v>10</v>
      </c>
      <c r="P37" s="57">
        <f>'Gr. F res'!J20</f>
        <v>0</v>
      </c>
      <c r="Q37" s="57">
        <f>'Gr. F res'!K20</f>
        <v>0</v>
      </c>
      <c r="R37" s="57">
        <f>'Gr. F res'!L20</f>
        <v>10</v>
      </c>
      <c r="S37" s="57">
        <f>'Gr. F res'!M20</f>
        <v>5</v>
      </c>
      <c r="T37" s="57">
        <f>'Gr. F res'!N20</f>
        <v>36</v>
      </c>
      <c r="U37" s="57">
        <f>'Gr. F res'!O20</f>
        <v>-31</v>
      </c>
      <c r="V37" s="56">
        <f>'Gr. F res'!P20</f>
        <v>0</v>
      </c>
    </row>
    <row r="38" spans="2:22" s="46" customFormat="1" ht="20.399999999999999" customHeight="1" x14ac:dyDescent="0.3"/>
    <row r="39" spans="2:22" s="46" customFormat="1" ht="20.399999999999999" customHeight="1" x14ac:dyDescent="0.3"/>
    <row r="40" spans="2:22" s="46" customFormat="1" ht="20.399999999999999" customHeight="1" x14ac:dyDescent="0.3"/>
    <row r="41" spans="2:22" s="46" customFormat="1" ht="46.2" customHeight="1" x14ac:dyDescent="0.85">
      <c r="C41" s="220" t="s">
        <v>107</v>
      </c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2:22" s="46" customFormat="1" ht="20.399999999999999" customHeight="1" x14ac:dyDescent="0.3"/>
    <row r="43" spans="2:22" s="46" customFormat="1" ht="22.95" customHeight="1" thickBot="1" x14ac:dyDescent="0.35">
      <c r="B43" s="219" t="s">
        <v>80</v>
      </c>
      <c r="C43" s="219"/>
      <c r="D43" s="219"/>
      <c r="E43" s="219"/>
      <c r="F43" s="219"/>
      <c r="G43" s="219"/>
      <c r="H43" s="219"/>
      <c r="I43" s="219"/>
      <c r="J43" s="219"/>
      <c r="K43" s="219"/>
      <c r="M43" s="219" t="s">
        <v>81</v>
      </c>
      <c r="N43" s="219"/>
      <c r="O43" s="219"/>
      <c r="P43" s="219"/>
      <c r="Q43" s="219"/>
      <c r="R43" s="219"/>
      <c r="S43" s="219"/>
      <c r="T43" s="219"/>
      <c r="U43" s="219"/>
      <c r="V43" s="219"/>
    </row>
    <row r="44" spans="2:22" s="46" customFormat="1" ht="22.95" customHeight="1" thickTop="1" x14ac:dyDescent="0.3">
      <c r="B44" s="58"/>
      <c r="C44" s="59" t="s">
        <v>35</v>
      </c>
      <c r="D44" s="59" t="s">
        <v>71</v>
      </c>
      <c r="E44" s="59" t="s">
        <v>52</v>
      </c>
      <c r="F44" s="59" t="s">
        <v>53</v>
      </c>
      <c r="G44" s="59" t="s">
        <v>54</v>
      </c>
      <c r="H44" s="59" t="s">
        <v>55</v>
      </c>
      <c r="I44" s="59" t="s">
        <v>56</v>
      </c>
      <c r="J44" s="60" t="s">
        <v>72</v>
      </c>
      <c r="K44" s="59" t="s">
        <v>73</v>
      </c>
      <c r="M44" s="62"/>
      <c r="N44" s="64" t="s">
        <v>35</v>
      </c>
      <c r="O44" s="64" t="s">
        <v>71</v>
      </c>
      <c r="P44" s="64" t="s">
        <v>52</v>
      </c>
      <c r="Q44" s="64" t="s">
        <v>53</v>
      </c>
      <c r="R44" s="64" t="s">
        <v>54</v>
      </c>
      <c r="S44" s="64" t="s">
        <v>55</v>
      </c>
      <c r="T44" s="64" t="s">
        <v>56</v>
      </c>
      <c r="U44" s="65" t="s">
        <v>72</v>
      </c>
      <c r="V44" s="64" t="s">
        <v>73</v>
      </c>
    </row>
    <row r="45" spans="2:22" s="46" customFormat="1" ht="20.399999999999999" customHeight="1" x14ac:dyDescent="0.3">
      <c r="B45" s="61">
        <v>1</v>
      </c>
      <c r="C45" s="47" t="str">
        <f>'Master res'!H15</f>
        <v>Playaveli</v>
      </c>
      <c r="D45" s="48">
        <f>'Master res'!I15</f>
        <v>10</v>
      </c>
      <c r="E45" s="48">
        <f>'Master res'!J15</f>
        <v>9</v>
      </c>
      <c r="F45" s="48">
        <f>'Master res'!K15</f>
        <v>1</v>
      </c>
      <c r="G45" s="48">
        <f>'Master res'!L15</f>
        <v>0</v>
      </c>
      <c r="H45" s="48">
        <f>'Master res'!M15</f>
        <v>30</v>
      </c>
      <c r="I45" s="48">
        <f>'Master res'!N15</f>
        <v>6</v>
      </c>
      <c r="J45" s="48">
        <f>'Master res'!O15</f>
        <v>24</v>
      </c>
      <c r="K45" s="47">
        <f>'Master res'!P15</f>
        <v>28</v>
      </c>
      <c r="M45" s="63">
        <v>1</v>
      </c>
      <c r="N45" s="47" t="str">
        <f>'Super res'!H15</f>
        <v>Blazej</v>
      </c>
      <c r="O45" s="48">
        <f>'Super res'!I15</f>
        <v>10</v>
      </c>
      <c r="P45" s="48">
        <f>'Super res'!J15</f>
        <v>9</v>
      </c>
      <c r="Q45" s="48">
        <f>'Super res'!K15</f>
        <v>1</v>
      </c>
      <c r="R45" s="48">
        <f>'Super res'!L15</f>
        <v>0</v>
      </c>
      <c r="S45" s="48">
        <f>'Super res'!M15</f>
        <v>24</v>
      </c>
      <c r="T45" s="48">
        <f>'Super res'!N15</f>
        <v>7</v>
      </c>
      <c r="U45" s="48">
        <f>'Super res'!O15</f>
        <v>17</v>
      </c>
      <c r="V45" s="47">
        <f>'Super res'!P15</f>
        <v>28</v>
      </c>
    </row>
    <row r="46" spans="2:22" s="46" customFormat="1" ht="20.399999999999999" customHeight="1" x14ac:dyDescent="0.3">
      <c r="B46" s="61">
        <v>2</v>
      </c>
      <c r="C46" s="47" t="str">
        <f>'Master res'!H16</f>
        <v>Lobo</v>
      </c>
      <c r="D46" s="48">
        <f>'Master res'!I16</f>
        <v>10</v>
      </c>
      <c r="E46" s="48">
        <f>'Master res'!J16</f>
        <v>5</v>
      </c>
      <c r="F46" s="48">
        <f>'Master res'!K16</f>
        <v>2</v>
      </c>
      <c r="G46" s="48">
        <f>'Master res'!L16</f>
        <v>3</v>
      </c>
      <c r="H46" s="48">
        <f>'Master res'!M16</f>
        <v>23</v>
      </c>
      <c r="I46" s="48">
        <f>'Master res'!N16</f>
        <v>21</v>
      </c>
      <c r="J46" s="48">
        <f>'Master res'!O16</f>
        <v>2</v>
      </c>
      <c r="K46" s="47">
        <f>'Master res'!P16</f>
        <v>17</v>
      </c>
      <c r="M46" s="63">
        <v>2</v>
      </c>
      <c r="N46" s="47" t="str">
        <f>'Super res'!H16</f>
        <v>Andib</v>
      </c>
      <c r="O46" s="48">
        <f>'Super res'!I16</f>
        <v>10</v>
      </c>
      <c r="P46" s="48">
        <f>'Super res'!J16</f>
        <v>6</v>
      </c>
      <c r="Q46" s="48">
        <f>'Super res'!K16</f>
        <v>0</v>
      </c>
      <c r="R46" s="48">
        <f>'Super res'!L16</f>
        <v>4</v>
      </c>
      <c r="S46" s="48">
        <f>'Super res'!M16</f>
        <v>23</v>
      </c>
      <c r="T46" s="48">
        <f>'Super res'!N16</f>
        <v>17</v>
      </c>
      <c r="U46" s="48">
        <f>'Super res'!O16</f>
        <v>6</v>
      </c>
      <c r="V46" s="47">
        <f>'Super res'!P16</f>
        <v>18</v>
      </c>
    </row>
    <row r="47" spans="2:22" s="46" customFormat="1" ht="20.399999999999999" customHeight="1" x14ac:dyDescent="0.3">
      <c r="B47" s="61">
        <v>3</v>
      </c>
      <c r="C47" s="47" t="str">
        <f>'Master res'!H17</f>
        <v>Bomb</v>
      </c>
      <c r="D47" s="48">
        <f>'Master res'!I17</f>
        <v>10</v>
      </c>
      <c r="E47" s="48">
        <f>'Master res'!J17</f>
        <v>2</v>
      </c>
      <c r="F47" s="48">
        <f>'Master res'!K17</f>
        <v>6</v>
      </c>
      <c r="G47" s="48">
        <f>'Master res'!L17</f>
        <v>2</v>
      </c>
      <c r="H47" s="48">
        <f>'Master res'!M17</f>
        <v>14</v>
      </c>
      <c r="I47" s="48">
        <f>'Master res'!N17</f>
        <v>12</v>
      </c>
      <c r="J47" s="48">
        <f>'Master res'!O17</f>
        <v>2</v>
      </c>
      <c r="K47" s="47">
        <f>'Master res'!P17</f>
        <v>12</v>
      </c>
      <c r="M47" s="63">
        <v>3</v>
      </c>
      <c r="N47" s="47" t="str">
        <f>'Super res'!H17</f>
        <v>Hawkz</v>
      </c>
      <c r="O47" s="48">
        <f>'Super res'!I17</f>
        <v>10</v>
      </c>
      <c r="P47" s="48">
        <f>'Super res'!J17</f>
        <v>5</v>
      </c>
      <c r="Q47" s="48">
        <f>'Super res'!K17</f>
        <v>2</v>
      </c>
      <c r="R47" s="48">
        <f>'Super res'!L17</f>
        <v>3</v>
      </c>
      <c r="S47" s="48">
        <f>'Super res'!M17</f>
        <v>17</v>
      </c>
      <c r="T47" s="48">
        <f>'Super res'!N17</f>
        <v>16</v>
      </c>
      <c r="U47" s="48">
        <f>'Super res'!O17</f>
        <v>1</v>
      </c>
      <c r="V47" s="47">
        <f>'Super res'!P17</f>
        <v>17</v>
      </c>
    </row>
    <row r="48" spans="2:22" s="46" customFormat="1" ht="20.399999999999999" customHeight="1" x14ac:dyDescent="0.3">
      <c r="B48" s="61">
        <v>4</v>
      </c>
      <c r="C48" s="47" t="str">
        <f>'Master res'!H18</f>
        <v>DjowGer</v>
      </c>
      <c r="D48" s="48">
        <f>'Master res'!I18</f>
        <v>10</v>
      </c>
      <c r="E48" s="48">
        <f>'Master res'!J18</f>
        <v>3</v>
      </c>
      <c r="F48" s="48">
        <f>'Master res'!K18</f>
        <v>1</v>
      </c>
      <c r="G48" s="48">
        <f>'Master res'!L18</f>
        <v>6</v>
      </c>
      <c r="H48" s="48">
        <f>'Master res'!M18</f>
        <v>14</v>
      </c>
      <c r="I48" s="48">
        <f>'Master res'!N18</f>
        <v>28</v>
      </c>
      <c r="J48" s="48">
        <f>'Master res'!O18</f>
        <v>-14</v>
      </c>
      <c r="K48" s="47">
        <f>'Master res'!P18</f>
        <v>10</v>
      </c>
      <c r="M48" s="63">
        <v>4</v>
      </c>
      <c r="N48" s="47" t="str">
        <f>'Super res'!H18</f>
        <v>ElMichaJ</v>
      </c>
      <c r="O48" s="48">
        <f>'Super res'!I18</f>
        <v>10</v>
      </c>
      <c r="P48" s="48">
        <f>'Super res'!J18</f>
        <v>5</v>
      </c>
      <c r="Q48" s="48">
        <f>'Super res'!K18</f>
        <v>1</v>
      </c>
      <c r="R48" s="48">
        <f>'Super res'!L18</f>
        <v>4</v>
      </c>
      <c r="S48" s="48">
        <f>'Super res'!M18</f>
        <v>24</v>
      </c>
      <c r="T48" s="48">
        <f>'Super res'!N18</f>
        <v>17</v>
      </c>
      <c r="U48" s="48">
        <f>'Super res'!O18</f>
        <v>7</v>
      </c>
      <c r="V48" s="47">
        <f>'Super res'!P18</f>
        <v>16</v>
      </c>
    </row>
    <row r="49" spans="2:22" s="46" customFormat="1" ht="20.399999999999999" customHeight="1" x14ac:dyDescent="0.3">
      <c r="B49" s="61">
        <v>5</v>
      </c>
      <c r="C49" s="47" t="str">
        <f>'Master res'!H19</f>
        <v>bobbiebobras</v>
      </c>
      <c r="D49" s="48">
        <f>'Master res'!I19</f>
        <v>10</v>
      </c>
      <c r="E49" s="48">
        <f>'Master res'!J19</f>
        <v>1</v>
      </c>
      <c r="F49" s="48">
        <f>'Master res'!K19</f>
        <v>5</v>
      </c>
      <c r="G49" s="48">
        <f>'Master res'!L19</f>
        <v>4</v>
      </c>
      <c r="H49" s="48">
        <f>'Master res'!M19</f>
        <v>11</v>
      </c>
      <c r="I49" s="48">
        <f>'Master res'!N19</f>
        <v>17</v>
      </c>
      <c r="J49" s="48">
        <f>'Master res'!O19</f>
        <v>-6</v>
      </c>
      <c r="K49" s="47">
        <f>'Master res'!P19</f>
        <v>8</v>
      </c>
      <c r="M49" s="63">
        <v>5</v>
      </c>
      <c r="N49" s="47" t="str">
        <f>'Super res'!H19</f>
        <v>Klaris</v>
      </c>
      <c r="O49" s="48">
        <f>'Super res'!I19</f>
        <v>10</v>
      </c>
      <c r="P49" s="48">
        <f>'Super res'!J19</f>
        <v>1</v>
      </c>
      <c r="Q49" s="48">
        <f>'Super res'!K19</f>
        <v>2</v>
      </c>
      <c r="R49" s="48">
        <f>'Super res'!L19</f>
        <v>7</v>
      </c>
      <c r="S49" s="48">
        <f>'Super res'!M19</f>
        <v>14</v>
      </c>
      <c r="T49" s="48">
        <f>'Super res'!N19</f>
        <v>27</v>
      </c>
      <c r="U49" s="48">
        <f>'Super res'!O19</f>
        <v>-13</v>
      </c>
      <c r="V49" s="47">
        <f>'Super res'!P19</f>
        <v>5</v>
      </c>
    </row>
    <row r="50" spans="2:22" s="46" customFormat="1" ht="20.399999999999999" customHeight="1" x14ac:dyDescent="0.3">
      <c r="B50" s="61">
        <v>6</v>
      </c>
      <c r="C50" s="47" t="str">
        <f>'Master res'!H20</f>
        <v>AbelXavier</v>
      </c>
      <c r="D50" s="48">
        <f>'Master res'!I20</f>
        <v>10</v>
      </c>
      <c r="E50" s="48">
        <f>'Master res'!J20</f>
        <v>1</v>
      </c>
      <c r="F50" s="48">
        <f>'Master res'!K20</f>
        <v>3</v>
      </c>
      <c r="G50" s="48">
        <f>'Master res'!L20</f>
        <v>6</v>
      </c>
      <c r="H50" s="48">
        <f>'Master res'!M20</f>
        <v>9</v>
      </c>
      <c r="I50" s="48">
        <f>'Master res'!N20</f>
        <v>17</v>
      </c>
      <c r="J50" s="48">
        <f>'Master res'!O20</f>
        <v>-8</v>
      </c>
      <c r="K50" s="47">
        <f>'Master res'!P20</f>
        <v>6</v>
      </c>
      <c r="M50" s="63">
        <v>6</v>
      </c>
      <c r="N50" s="47" t="str">
        <f>'Super res'!H20</f>
        <v>Bromberg</v>
      </c>
      <c r="O50" s="48">
        <f>'Super res'!I20</f>
        <v>10</v>
      </c>
      <c r="P50" s="48">
        <f>'Super res'!J20</f>
        <v>0</v>
      </c>
      <c r="Q50" s="48">
        <f>'Super res'!K20</f>
        <v>2</v>
      </c>
      <c r="R50" s="48">
        <f>'Super res'!L20</f>
        <v>8</v>
      </c>
      <c r="S50" s="48">
        <f>'Super res'!M20</f>
        <v>14</v>
      </c>
      <c r="T50" s="48">
        <f>'Super res'!N20</f>
        <v>32</v>
      </c>
      <c r="U50" s="48">
        <f>'Super res'!O20</f>
        <v>-18</v>
      </c>
      <c r="V50" s="47">
        <f>'Super res'!P20</f>
        <v>2</v>
      </c>
    </row>
    <row r="51" spans="2:22" s="46" customFormat="1" ht="20.399999999999999" customHeight="1" x14ac:dyDescent="0.3"/>
    <row r="52" spans="2:22" s="46" customFormat="1" ht="20.399999999999999" customHeight="1" x14ac:dyDescent="0.3"/>
    <row r="53" spans="2:22" s="46" customFormat="1" ht="22.95" customHeight="1" thickBot="1" x14ac:dyDescent="0.35">
      <c r="B53" s="219" t="s">
        <v>82</v>
      </c>
      <c r="C53" s="219"/>
      <c r="D53" s="219"/>
      <c r="E53" s="219"/>
      <c r="F53" s="219"/>
      <c r="G53" s="219"/>
      <c r="H53" s="219"/>
      <c r="I53" s="219"/>
      <c r="J53" s="219"/>
      <c r="K53" s="219"/>
      <c r="M53" s="219" t="s">
        <v>83</v>
      </c>
      <c r="N53" s="219"/>
      <c r="O53" s="219"/>
      <c r="P53" s="219"/>
      <c r="Q53" s="219"/>
      <c r="R53" s="219"/>
      <c r="S53" s="219"/>
      <c r="T53" s="219"/>
      <c r="U53" s="219"/>
      <c r="V53" s="219"/>
    </row>
    <row r="54" spans="2:22" s="46" customFormat="1" ht="22.95" customHeight="1" thickTop="1" x14ac:dyDescent="0.3">
      <c r="B54" s="70"/>
      <c r="C54" s="72" t="s">
        <v>35</v>
      </c>
      <c r="D54" s="72" t="s">
        <v>71</v>
      </c>
      <c r="E54" s="72" t="s">
        <v>52</v>
      </c>
      <c r="F54" s="72" t="s">
        <v>53</v>
      </c>
      <c r="G54" s="72" t="s">
        <v>54</v>
      </c>
      <c r="H54" s="72" t="s">
        <v>55</v>
      </c>
      <c r="I54" s="72" t="s">
        <v>56</v>
      </c>
      <c r="J54" s="73" t="s">
        <v>72</v>
      </c>
      <c r="K54" s="72" t="s">
        <v>73</v>
      </c>
      <c r="M54" s="70"/>
      <c r="N54" s="72" t="s">
        <v>35</v>
      </c>
      <c r="O54" s="72" t="s">
        <v>71</v>
      </c>
      <c r="P54" s="72" t="s">
        <v>52</v>
      </c>
      <c r="Q54" s="72" t="s">
        <v>53</v>
      </c>
      <c r="R54" s="72" t="s">
        <v>54</v>
      </c>
      <c r="S54" s="72" t="s">
        <v>55</v>
      </c>
      <c r="T54" s="72" t="s">
        <v>56</v>
      </c>
      <c r="U54" s="73" t="s">
        <v>72</v>
      </c>
      <c r="V54" s="72" t="s">
        <v>73</v>
      </c>
    </row>
    <row r="55" spans="2:22" s="46" customFormat="1" ht="20.399999999999999" customHeight="1" x14ac:dyDescent="0.3">
      <c r="B55" s="71">
        <v>1</v>
      </c>
      <c r="C55" s="54" t="str">
        <f>'2ndA res'!H15</f>
        <v>Sanek</v>
      </c>
      <c r="D55" s="55">
        <f>'2ndA res'!I15</f>
        <v>10</v>
      </c>
      <c r="E55" s="55">
        <f>'2ndA res'!J15</f>
        <v>7</v>
      </c>
      <c r="F55" s="55">
        <f>'2ndA res'!K15</f>
        <v>1</v>
      </c>
      <c r="G55" s="55">
        <f>'2ndA res'!L15</f>
        <v>2</v>
      </c>
      <c r="H55" s="55">
        <f>'2ndA res'!M15</f>
        <v>27</v>
      </c>
      <c r="I55" s="55">
        <f>'2ndA res'!N15</f>
        <v>12</v>
      </c>
      <c r="J55" s="55">
        <f>'2ndA res'!O15</f>
        <v>15</v>
      </c>
      <c r="K55" s="54">
        <f>'2ndA res'!P15</f>
        <v>22</v>
      </c>
      <c r="M55" s="71">
        <v>1</v>
      </c>
      <c r="N55" s="54" t="str">
        <f>'2ndB res'!H15</f>
        <v>Foka</v>
      </c>
      <c r="O55" s="55">
        <f>'2ndB res'!I15</f>
        <v>10</v>
      </c>
      <c r="P55" s="55">
        <f>'2ndB res'!J15</f>
        <v>7</v>
      </c>
      <c r="Q55" s="55">
        <f>'2ndB res'!K15</f>
        <v>1</v>
      </c>
      <c r="R55" s="55">
        <f>'2ndB res'!L15</f>
        <v>2</v>
      </c>
      <c r="S55" s="55">
        <f>'2ndB res'!M15</f>
        <v>39</v>
      </c>
      <c r="T55" s="55">
        <f>'2ndB res'!N15</f>
        <v>14</v>
      </c>
      <c r="U55" s="55">
        <f>'2ndB res'!O15</f>
        <v>25</v>
      </c>
      <c r="V55" s="54">
        <f>'2ndB res'!P15</f>
        <v>22</v>
      </c>
    </row>
    <row r="56" spans="2:22" s="46" customFormat="1" ht="20.399999999999999" customHeight="1" x14ac:dyDescent="0.3">
      <c r="B56" s="71">
        <v>2</v>
      </c>
      <c r="C56" s="54" t="str">
        <f>'2ndA res'!H16</f>
        <v>AndYpsilon</v>
      </c>
      <c r="D56" s="55">
        <f>'2ndA res'!I16</f>
        <v>10</v>
      </c>
      <c r="E56" s="55">
        <f>'2ndA res'!J16</f>
        <v>7</v>
      </c>
      <c r="F56" s="55">
        <f>'2ndA res'!K16</f>
        <v>0</v>
      </c>
      <c r="G56" s="55">
        <f>'2ndA res'!L16</f>
        <v>3</v>
      </c>
      <c r="H56" s="55">
        <f>'2ndA res'!M16</f>
        <v>30</v>
      </c>
      <c r="I56" s="55">
        <f>'2ndA res'!N16</f>
        <v>11</v>
      </c>
      <c r="J56" s="55">
        <f>'2ndA res'!O16</f>
        <v>19</v>
      </c>
      <c r="K56" s="54">
        <f>'2ndA res'!P16</f>
        <v>21</v>
      </c>
      <c r="M56" s="71">
        <v>2</v>
      </c>
      <c r="N56" s="54" t="str">
        <f>'2ndB res'!H16</f>
        <v>Cinek</v>
      </c>
      <c r="O56" s="55">
        <f>'2ndB res'!I16</f>
        <v>10</v>
      </c>
      <c r="P56" s="55">
        <f>'2ndB res'!J16</f>
        <v>6</v>
      </c>
      <c r="Q56" s="55">
        <f>'2ndB res'!K16</f>
        <v>1</v>
      </c>
      <c r="R56" s="55">
        <f>'2ndB res'!L16</f>
        <v>3</v>
      </c>
      <c r="S56" s="55">
        <f>'2ndB res'!M16</f>
        <v>22</v>
      </c>
      <c r="T56" s="55">
        <f>'2ndB res'!N16</f>
        <v>15</v>
      </c>
      <c r="U56" s="55">
        <f>'2ndB res'!O16</f>
        <v>7</v>
      </c>
      <c r="V56" s="54">
        <f>'2ndB res'!P16</f>
        <v>19</v>
      </c>
    </row>
    <row r="57" spans="2:22" s="46" customFormat="1" ht="20.399999999999999" customHeight="1" x14ac:dyDescent="0.3">
      <c r="B57" s="71">
        <v>3</v>
      </c>
      <c r="C57" s="47" t="str">
        <f>'2ndA res'!H17</f>
        <v>Ruhbi</v>
      </c>
      <c r="D57" s="48">
        <f>'2ndA res'!I17</f>
        <v>10</v>
      </c>
      <c r="E57" s="48">
        <f>'2ndA res'!J17</f>
        <v>6</v>
      </c>
      <c r="F57" s="48">
        <f>'2ndA res'!K17</f>
        <v>3</v>
      </c>
      <c r="G57" s="48">
        <f>'2ndA res'!L17</f>
        <v>1</v>
      </c>
      <c r="H57" s="48">
        <f>'2ndA res'!M17</f>
        <v>19</v>
      </c>
      <c r="I57" s="48">
        <f>'2ndA res'!N17</f>
        <v>13</v>
      </c>
      <c r="J57" s="48">
        <f>'2ndA res'!O17</f>
        <v>6</v>
      </c>
      <c r="K57" s="47">
        <f>'2ndA res'!P17</f>
        <v>21</v>
      </c>
      <c r="M57" s="71">
        <v>3</v>
      </c>
      <c r="N57" s="47" t="str">
        <f>'2ndB res'!H17</f>
        <v>Klinki</v>
      </c>
      <c r="O57" s="48">
        <f>'2ndB res'!I17</f>
        <v>10</v>
      </c>
      <c r="P57" s="48">
        <f>'2ndB res'!J17</f>
        <v>4</v>
      </c>
      <c r="Q57" s="48">
        <f>'2ndB res'!K17</f>
        <v>1</v>
      </c>
      <c r="R57" s="48">
        <f>'2ndB res'!L17</f>
        <v>5</v>
      </c>
      <c r="S57" s="48">
        <f>'2ndB res'!M17</f>
        <v>14</v>
      </c>
      <c r="T57" s="48">
        <f>'2ndB res'!N17</f>
        <v>24</v>
      </c>
      <c r="U57" s="48">
        <f>'2ndB res'!O17</f>
        <v>-10</v>
      </c>
      <c r="V57" s="47">
        <f>'2ndB res'!P17</f>
        <v>13</v>
      </c>
    </row>
    <row r="58" spans="2:22" s="46" customFormat="1" ht="20.399999999999999" customHeight="1" x14ac:dyDescent="0.3">
      <c r="B58" s="71">
        <v>4</v>
      </c>
      <c r="C58" s="47" t="str">
        <f>'2ndA res'!H18</f>
        <v>Team Oelkohold</v>
      </c>
      <c r="D58" s="48">
        <f>'2ndA res'!I18</f>
        <v>10</v>
      </c>
      <c r="E58" s="48">
        <f>'2ndA res'!J18</f>
        <v>4</v>
      </c>
      <c r="F58" s="48">
        <f>'2ndA res'!K18</f>
        <v>0</v>
      </c>
      <c r="G58" s="48">
        <f>'2ndA res'!L18</f>
        <v>6</v>
      </c>
      <c r="H58" s="48">
        <f>'2ndA res'!M18</f>
        <v>19</v>
      </c>
      <c r="I58" s="48">
        <f>'2ndA res'!N18</f>
        <v>24</v>
      </c>
      <c r="J58" s="48">
        <f>'2ndA res'!O18</f>
        <v>-5</v>
      </c>
      <c r="K58" s="47">
        <f>'2ndA res'!P18</f>
        <v>12</v>
      </c>
      <c r="M58" s="71">
        <v>4</v>
      </c>
      <c r="N58" s="47" t="str">
        <f>'2ndB res'!H18</f>
        <v>Schulle</v>
      </c>
      <c r="O58" s="48">
        <f>'2ndB res'!I18</f>
        <v>10</v>
      </c>
      <c r="P58" s="48">
        <f>'2ndB res'!J18</f>
        <v>3</v>
      </c>
      <c r="Q58" s="48">
        <f>'2ndB res'!K18</f>
        <v>3</v>
      </c>
      <c r="R58" s="48">
        <f>'2ndB res'!L18</f>
        <v>4</v>
      </c>
      <c r="S58" s="48">
        <f>'2ndB res'!M18</f>
        <v>15</v>
      </c>
      <c r="T58" s="48">
        <f>'2ndB res'!N18</f>
        <v>18</v>
      </c>
      <c r="U58" s="48">
        <f>'2ndB res'!O18</f>
        <v>-3</v>
      </c>
      <c r="V58" s="47">
        <f>'2ndB res'!P18</f>
        <v>12</v>
      </c>
    </row>
    <row r="59" spans="2:22" s="46" customFormat="1" ht="20.399999999999999" customHeight="1" x14ac:dyDescent="0.3">
      <c r="B59" s="71">
        <v>5</v>
      </c>
      <c r="C59" s="47" t="str">
        <f>'2ndA res'!H19</f>
        <v>xflea</v>
      </c>
      <c r="D59" s="48">
        <f>'2ndA res'!I19</f>
        <v>10</v>
      </c>
      <c r="E59" s="48">
        <f>'2ndA res'!J19</f>
        <v>3</v>
      </c>
      <c r="F59" s="48">
        <f>'2ndA res'!K19</f>
        <v>1</v>
      </c>
      <c r="G59" s="48">
        <f>'2ndA res'!L19</f>
        <v>6</v>
      </c>
      <c r="H59" s="48">
        <f>'2ndA res'!M19</f>
        <v>16</v>
      </c>
      <c r="I59" s="48">
        <f>'2ndA res'!N19</f>
        <v>24</v>
      </c>
      <c r="J59" s="48">
        <f>'2ndA res'!O19</f>
        <v>-8</v>
      </c>
      <c r="K59" s="47">
        <f>'2ndA res'!P19</f>
        <v>10</v>
      </c>
      <c r="M59" s="71">
        <v>5</v>
      </c>
      <c r="N59" s="47" t="str">
        <f>'2ndB res'!H19</f>
        <v>Szeszesek</v>
      </c>
      <c r="O59" s="48">
        <f>'2ndB res'!I19</f>
        <v>10</v>
      </c>
      <c r="P59" s="48">
        <f>'2ndB res'!J19</f>
        <v>3</v>
      </c>
      <c r="Q59" s="48">
        <f>'2ndB res'!K19</f>
        <v>2</v>
      </c>
      <c r="R59" s="48">
        <f>'2ndB res'!L19</f>
        <v>5</v>
      </c>
      <c r="S59" s="48">
        <f>'2ndB res'!M19</f>
        <v>11</v>
      </c>
      <c r="T59" s="48">
        <f>'2ndB res'!N19</f>
        <v>19</v>
      </c>
      <c r="U59" s="48">
        <f>'2ndB res'!O19</f>
        <v>-8</v>
      </c>
      <c r="V59" s="47">
        <f>'2ndB res'!P19</f>
        <v>11</v>
      </c>
    </row>
    <row r="60" spans="2:22" s="46" customFormat="1" ht="20.399999999999999" customHeight="1" x14ac:dyDescent="0.3">
      <c r="B60" s="71">
        <v>6</v>
      </c>
      <c r="C60" s="47" t="str">
        <f>'2ndA res'!H20</f>
        <v>Dior</v>
      </c>
      <c r="D60" s="48">
        <f>'2ndA res'!I20</f>
        <v>10</v>
      </c>
      <c r="E60" s="48">
        <f>'2ndA res'!J20</f>
        <v>0</v>
      </c>
      <c r="F60" s="48">
        <f>'2ndA res'!K20</f>
        <v>1</v>
      </c>
      <c r="G60" s="48">
        <f>'2ndA res'!L20</f>
        <v>9</v>
      </c>
      <c r="H60" s="48">
        <f>'2ndA res'!M20</f>
        <v>6</v>
      </c>
      <c r="I60" s="48">
        <f>'2ndA res'!N20</f>
        <v>33</v>
      </c>
      <c r="J60" s="48">
        <f>'2ndA res'!O20</f>
        <v>-27</v>
      </c>
      <c r="K60" s="47">
        <f>'2ndA res'!P20</f>
        <v>1</v>
      </c>
      <c r="M60" s="71">
        <v>6</v>
      </c>
      <c r="N60" s="47" t="str">
        <f>'2ndB res'!H20</f>
        <v>Fifko</v>
      </c>
      <c r="O60" s="48">
        <f>'2ndB res'!I20</f>
        <v>10</v>
      </c>
      <c r="P60" s="48">
        <f>'2ndB res'!J20</f>
        <v>3</v>
      </c>
      <c r="Q60" s="48">
        <f>'2ndB res'!K20</f>
        <v>0</v>
      </c>
      <c r="R60" s="48">
        <f>'2ndB res'!L20</f>
        <v>7</v>
      </c>
      <c r="S60" s="48">
        <f>'2ndB res'!M20</f>
        <v>15</v>
      </c>
      <c r="T60" s="48">
        <f>'2ndB res'!N20</f>
        <v>26</v>
      </c>
      <c r="U60" s="48">
        <f>'2ndB res'!O20</f>
        <v>-11</v>
      </c>
      <c r="V60" s="47">
        <f>'2ndB res'!P20</f>
        <v>9</v>
      </c>
    </row>
    <row r="61" spans="2:22" s="46" customFormat="1" ht="20.399999999999999" customHeight="1" x14ac:dyDescent="0.3"/>
    <row r="62" spans="2:22" s="46" customFormat="1" ht="20.399999999999999" customHeight="1" x14ac:dyDescent="0.3"/>
    <row r="63" spans="2:22" s="46" customFormat="1" ht="20.399999999999999" customHeight="1" x14ac:dyDescent="0.3"/>
    <row r="64" spans="2:22" s="46" customFormat="1" ht="20.399999999999999" customHeight="1" x14ac:dyDescent="0.3"/>
    <row r="65" spans="2:22" s="46" customFormat="1" ht="20.399999999999999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M65" s="7"/>
      <c r="N65" s="7"/>
      <c r="O65" s="7"/>
      <c r="P65" s="7"/>
      <c r="Q65" s="7"/>
      <c r="R65" s="7"/>
      <c r="S65" s="7"/>
      <c r="T65" s="7"/>
      <c r="U65" s="7"/>
      <c r="V65" s="7"/>
    </row>
  </sheetData>
  <sheetProtection password="971E" sheet="1" objects="1" scenarios="1"/>
  <mergeCells count="16">
    <mergeCell ref="C2:D2"/>
    <mergeCell ref="B3:D3"/>
    <mergeCell ref="B4:D4"/>
    <mergeCell ref="B5:D5"/>
    <mergeCell ref="C7:V7"/>
    <mergeCell ref="C41:V41"/>
    <mergeCell ref="B43:K43"/>
    <mergeCell ref="M43:V43"/>
    <mergeCell ref="B53:K53"/>
    <mergeCell ref="M53:V53"/>
    <mergeCell ref="C9:K9"/>
    <mergeCell ref="N9:V9"/>
    <mergeCell ref="C20:K20"/>
    <mergeCell ref="N20:V20"/>
    <mergeCell ref="C30:K30"/>
    <mergeCell ref="N30:V30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>
      <selection activeCell="T10" sqref="T10"/>
    </sheetView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'Gr. B+'!D2</f>
        <v>Group B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Bomb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8</v>
      </c>
      <c r="V3" s="21">
        <f t="array" ref="V3">SUM((home=S3)*(homescore=visitorscore)*ISNUMBER(visitorscore),(visitor=S3)*(visitorscore=homescore)*ISNUMBER(homescore))</f>
        <v>1</v>
      </c>
      <c r="W3" s="21">
        <f t="array" ref="W3">SUM((home=S3)*(homescore&lt;visitorscore),(visitor=S3)*(visitorscore&lt;homescore))</f>
        <v>1</v>
      </c>
      <c r="X3" s="32">
        <f t="shared" ref="X3" si="1">SUMIF(home,S3,homescore)+SUMIF(visitor,S3,visitorscore)</f>
        <v>26</v>
      </c>
      <c r="Y3" s="33">
        <f t="shared" ref="Y3" si="2">SUMIF(home,S3,visitorscore)+SUMIF(visitor,S3,homescore)</f>
        <v>10</v>
      </c>
      <c r="Z3" s="34">
        <f>X3-Y3</f>
        <v>16</v>
      </c>
      <c r="AA3" s="32">
        <f>U3*3+V3</f>
        <v>25</v>
      </c>
      <c r="AB3" s="20">
        <f>X3+Z3*10000+AA3*1000000000</f>
        <v>25000160026</v>
      </c>
    </row>
    <row r="4" spans="1:28" x14ac:dyDescent="0.3">
      <c r="A4" s="35" t="str">
        <f>'Gr. B+'!E8</f>
        <v>Bomb</v>
      </c>
      <c r="B4" s="19"/>
      <c r="C4" s="19"/>
      <c r="S4" s="36" t="str">
        <f t="shared" si="0"/>
        <v>Klaris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6</v>
      </c>
      <c r="V4" s="21">
        <f t="array" ref="V4">SUM((home=S4)*(homescore=visitorscore)*ISNUMBER(visitorscore),(visitor=S4)*(visitorscore=homescore)*ISNUMBER(homescore))</f>
        <v>3</v>
      </c>
      <c r="W4" s="21">
        <f t="array" ref="W4">SUM((home=S4)*(homescore&lt;visitorscore),(visitor=S4)*(visitorscore&lt;homescore))</f>
        <v>1</v>
      </c>
      <c r="X4" s="32">
        <f t="shared" ref="X4" si="3">SUMIF(home,S4,homescore)+SUMIF(visitor,S4,visitorscore)</f>
        <v>19</v>
      </c>
      <c r="Y4" s="33">
        <f t="shared" ref="Y4" si="4">SUMIF(home,S4,visitorscore)+SUMIF(visitor,S4,homescore)</f>
        <v>13</v>
      </c>
      <c r="Z4" s="34">
        <f t="shared" ref="Z4:Z8" si="5">X4-Y4</f>
        <v>6</v>
      </c>
      <c r="AA4" s="32">
        <f t="shared" ref="AA4:AA8" si="6">U4*3+V4</f>
        <v>21</v>
      </c>
      <c r="AB4" s="20">
        <f t="shared" ref="AB4:AB8" si="7">X4+Z4*10000+AA4*1000000000</f>
        <v>21000060019</v>
      </c>
    </row>
    <row r="5" spans="1:28" x14ac:dyDescent="0.3">
      <c r="A5" s="35" t="str">
        <f>'Gr. B+'!E9</f>
        <v>Klaris</v>
      </c>
      <c r="B5" s="19"/>
      <c r="C5" s="19"/>
      <c r="S5" s="36" t="str">
        <f t="shared" si="0"/>
        <v>AndYpsilon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6</v>
      </c>
      <c r="V5" s="21">
        <f t="array" ref="V5">SUM((home=S5)*(homescore=visitorscore)*ISNUMBER(visitorscore),(visitor=S5)*(visitorscore=homescore)*ISNUMBER(homescore))</f>
        <v>1</v>
      </c>
      <c r="W5" s="21">
        <f t="array" ref="W5">SUM((home=S5)*(homescore&lt;visitorscore),(visitor=S5)*(visitorscore&lt;homescore))</f>
        <v>3</v>
      </c>
      <c r="X5" s="32">
        <f t="shared" ref="X5" si="8">SUMIF(home,S5,homescore)+SUMIF(visitor,S5,visitorscore)</f>
        <v>26</v>
      </c>
      <c r="Y5" s="33">
        <f t="shared" ref="Y5" si="9">SUMIF(home,S5,visitorscore)+SUMIF(visitor,S5,homescore)</f>
        <v>20</v>
      </c>
      <c r="Z5" s="34">
        <f t="shared" si="5"/>
        <v>6</v>
      </c>
      <c r="AA5" s="32">
        <f t="shared" si="6"/>
        <v>19</v>
      </c>
      <c r="AB5" s="20">
        <f t="shared" si="7"/>
        <v>19000060026</v>
      </c>
    </row>
    <row r="6" spans="1:28" x14ac:dyDescent="0.3">
      <c r="A6" s="35" t="str">
        <f>'Gr. B+'!E10</f>
        <v>AndYpsilon</v>
      </c>
      <c r="B6" s="19"/>
      <c r="C6" s="19"/>
      <c r="S6" s="36" t="str">
        <f t="shared" si="0"/>
        <v>Paider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1</v>
      </c>
      <c r="V6" s="21">
        <f t="array" ref="V6">SUM((home=S6)*(homescore=visitorscore)*ISNUMBER(visitorscore),(visitor=S6)*(visitorscore=homescore)*ISNUMBER(homescore))</f>
        <v>4</v>
      </c>
      <c r="W6" s="21">
        <f t="array" ref="W6">SUM((home=S6)*(homescore&lt;visitorscore),(visitor=S6)*(visitorscore&lt;homescore))</f>
        <v>5</v>
      </c>
      <c r="X6" s="32">
        <f t="shared" ref="X6" si="10">SUMIF(home,S6,homescore)+SUMIF(visitor,S6,visitorscore)</f>
        <v>13</v>
      </c>
      <c r="Y6" s="33">
        <f t="shared" ref="Y6" si="11">SUMIF(home,S6,visitorscore)+SUMIF(visitor,S6,homescore)</f>
        <v>19</v>
      </c>
      <c r="Z6" s="34">
        <f t="shared" si="5"/>
        <v>-6</v>
      </c>
      <c r="AA6" s="32">
        <f t="shared" si="6"/>
        <v>7</v>
      </c>
      <c r="AB6" s="20">
        <f t="shared" si="7"/>
        <v>6999940013</v>
      </c>
    </row>
    <row r="7" spans="1:28" x14ac:dyDescent="0.3">
      <c r="A7" s="35" t="str">
        <f>'Gr. B+'!E11</f>
        <v>Paider</v>
      </c>
      <c r="B7" s="19"/>
      <c r="C7" s="19"/>
      <c r="S7" s="37" t="str">
        <f t="shared" si="0"/>
        <v>GoaGuru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0</v>
      </c>
      <c r="V7" s="21">
        <f t="array" ref="V7">SUM((home=S7)*(homescore=visitorscore)*ISNUMBER(visitorscore),(visitor=S7)*(visitorscore=homescore)*ISNUMBER(homescore))</f>
        <v>3</v>
      </c>
      <c r="W7" s="21">
        <f t="array" ref="W7">SUM((home=S7)*(homescore&lt;visitorscore),(visitor=S7)*(visitorscore&lt;homescore))</f>
        <v>7</v>
      </c>
      <c r="X7" s="32">
        <f t="shared" ref="X7" si="12">SUMIF(home,S7,homescore)+SUMIF(visitor,S7,visitorscore)</f>
        <v>9</v>
      </c>
      <c r="Y7" s="33">
        <f t="shared" ref="Y7" si="13">SUMIF(home,S7,visitorscore)+SUMIF(visitor,S7,homescore)</f>
        <v>24</v>
      </c>
      <c r="Z7" s="34">
        <f t="shared" si="5"/>
        <v>-15</v>
      </c>
      <c r="AA7" s="32">
        <f t="shared" si="6"/>
        <v>3</v>
      </c>
      <c r="AB7" s="20">
        <f t="shared" si="7"/>
        <v>2999850009</v>
      </c>
    </row>
    <row r="8" spans="1:28" x14ac:dyDescent="0.3">
      <c r="A8" s="35" t="str">
        <f>'Gr. B+'!E12</f>
        <v>GoaGuru</v>
      </c>
      <c r="B8" s="19"/>
      <c r="C8" s="19"/>
      <c r="S8" s="37" t="str">
        <f t="shared" si="0"/>
        <v>Fifko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3</v>
      </c>
      <c r="V8" s="21">
        <f t="array" ref="V8">SUM((home=S8)*(homescore=visitorscore)*ISNUMBER(visitorscore),(visitor=S8)*(visitorscore=homescore)*ISNUMBER(homescore))</f>
        <v>0</v>
      </c>
      <c r="W8" s="21">
        <f t="array" ref="W8">SUM((home=S8)*(homescore&lt;visitorscore),(visitor=S8)*(visitorscore&lt;homescore))</f>
        <v>7</v>
      </c>
      <c r="X8" s="32">
        <f t="shared" ref="X8" si="14">SUMIF(home,S8,homescore)+SUMIF(visitor,S8,visitorscore)</f>
        <v>15</v>
      </c>
      <c r="Y8" s="33">
        <f t="shared" ref="Y8" si="15">SUMIF(home,S8,visitorscore)+SUMIF(visitor,S8,homescore)</f>
        <v>22</v>
      </c>
      <c r="Z8" s="34">
        <f t="shared" si="5"/>
        <v>-7</v>
      </c>
      <c r="AA8" s="32">
        <f t="shared" si="6"/>
        <v>9</v>
      </c>
      <c r="AB8" s="20">
        <f t="shared" si="7"/>
        <v>8999930015</v>
      </c>
    </row>
    <row r="9" spans="1:28" x14ac:dyDescent="0.3">
      <c r="A9" s="35" t="str">
        <f>'Gr. B+'!E13</f>
        <v>Fifko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'Gr. B'!B7</f>
        <v>Bomb</v>
      </c>
      <c r="B13" s="39" t="str">
        <f>'Gr. B'!D7</f>
        <v>Klaris</v>
      </c>
      <c r="C13" s="40">
        <f>IF('Gr. B'!E7="","",'Gr. B'!E7)</f>
        <v>3</v>
      </c>
      <c r="D13" s="40" t="s">
        <v>64</v>
      </c>
      <c r="E13" s="40">
        <f>IF('Gr. B'!G7="","",'Gr. B'!G7)</f>
        <v>0</v>
      </c>
      <c r="F13" s="34"/>
    </row>
    <row r="14" spans="1:28" x14ac:dyDescent="0.3">
      <c r="A14" s="39" t="str">
        <f>'Gr. B'!B8</f>
        <v>Bomb</v>
      </c>
      <c r="B14" s="39" t="str">
        <f>'Gr. B'!D8</f>
        <v>AndYpsilon</v>
      </c>
      <c r="C14" s="40">
        <f>IF('Gr. B'!E8="","",'Gr. B'!E8)</f>
        <v>2</v>
      </c>
      <c r="D14" s="40" t="s">
        <v>64</v>
      </c>
      <c r="E14" s="40">
        <f>IF('Gr. B'!G8="","",'Gr. B'!G8)</f>
        <v>2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'Gr. B'!B9</f>
        <v>Bomb</v>
      </c>
      <c r="B15" s="39" t="str">
        <f>'Gr. B'!D9</f>
        <v>Paider</v>
      </c>
      <c r="C15" s="40">
        <f>IF('Gr. B'!E9="","",'Gr. B'!E9)</f>
        <v>1</v>
      </c>
      <c r="D15" s="40" t="s">
        <v>64</v>
      </c>
      <c r="E15" s="40">
        <f>IF('Gr. B'!G9="","",'Gr. B'!G9)</f>
        <v>0</v>
      </c>
      <c r="F15" s="34"/>
      <c r="H15" s="42" t="str">
        <f t="array" ref="H15">INDEX($S$3:$S$8,MATCH(LARGE($AB$3:$AB$8-ROW($AB$3:$AB$8)/COUNT($AB$3:$AB$8),ROW(H15)-ROW(H$15)+1),$AB$3:$AB$8-ROW($AB$3:$AB$8)/COUNT($AB$3:$AB$8),0))</f>
        <v>Bomb</v>
      </c>
      <c r="I15" s="33">
        <f t="shared" ref="I15:I20" si="16">VLOOKUP($H15,$S$3:$AA$8,2,0)</f>
        <v>10</v>
      </c>
      <c r="J15" s="21">
        <f t="shared" ref="J15:J20" si="17">VLOOKUP($H15,$S$3:$AA$8,3,0)</f>
        <v>8</v>
      </c>
      <c r="K15" s="21">
        <f t="shared" ref="K15:K20" si="18">VLOOKUP($H15,$S$3:$AA$8,4,0)</f>
        <v>1</v>
      </c>
      <c r="L15" s="21">
        <f t="shared" ref="L15:L20" si="19">VLOOKUP($H15,$S$3:$AA$8,5,0)</f>
        <v>1</v>
      </c>
      <c r="M15" s="32">
        <f t="shared" ref="M15:M20" si="20">VLOOKUP($H15,$S$3:$AA$8,6,0)</f>
        <v>26</v>
      </c>
      <c r="N15" s="33">
        <f t="shared" ref="N15:N20" si="21">VLOOKUP($H15,$S$3:$AA$8,7,0)</f>
        <v>10</v>
      </c>
      <c r="O15" s="21">
        <f t="shared" ref="O15:O20" si="22">VLOOKUP($H15,$S$3:$AA$8,8,0)</f>
        <v>16</v>
      </c>
      <c r="P15" s="32">
        <f t="shared" ref="P15:P20" si="23">VLOOKUP($H15,$S$3:$AA$8,9,0)</f>
        <v>25</v>
      </c>
      <c r="Q15" s="21">
        <f>VLOOKUP(H15,'Master+'!$E$8:$H$15,3,0)</f>
        <v>0</v>
      </c>
    </row>
    <row r="16" spans="1:28" x14ac:dyDescent="0.3">
      <c r="A16" s="39" t="str">
        <f>'Gr. B'!B10</f>
        <v>Bomb</v>
      </c>
      <c r="B16" s="39" t="str">
        <f>'Gr. B'!D10</f>
        <v>GoaGuru</v>
      </c>
      <c r="C16" s="40">
        <f>IF('Gr. B'!E10="","",'Gr. B'!E10)</f>
        <v>4</v>
      </c>
      <c r="D16" s="40" t="s">
        <v>64</v>
      </c>
      <c r="E16" s="40">
        <f>IF('Gr. B'!G10="","",'Gr. B'!G10)</f>
        <v>1</v>
      </c>
      <c r="F16" s="34"/>
      <c r="H16" s="42" t="str">
        <f t="array" ref="H16">INDEX($S$3:$S$8,MATCH(LARGE($AB$3:$AB$8-ROW($AB$3:$AB$8)/COUNT($AB$3:$AB$8),ROW(H16)-ROW(H$15)+1),$AB$3:$AB$8-ROW($AB$3:$AB$8)/COUNT($AB$3:$AB$8),0))</f>
        <v>Klaris</v>
      </c>
      <c r="I16" s="33">
        <f t="shared" si="16"/>
        <v>10</v>
      </c>
      <c r="J16" s="21">
        <f t="shared" si="17"/>
        <v>6</v>
      </c>
      <c r="K16" s="21">
        <f t="shared" si="18"/>
        <v>3</v>
      </c>
      <c r="L16" s="21">
        <f t="shared" si="19"/>
        <v>1</v>
      </c>
      <c r="M16" s="32">
        <f t="shared" si="20"/>
        <v>19</v>
      </c>
      <c r="N16" s="33">
        <f t="shared" si="21"/>
        <v>13</v>
      </c>
      <c r="O16" s="21">
        <f t="shared" si="22"/>
        <v>6</v>
      </c>
      <c r="P16" s="32">
        <f t="shared" si="23"/>
        <v>21</v>
      </c>
      <c r="Q16" s="21" t="e">
        <f>VLOOKUP(H16,'Master+'!$E$8:$H$15,3,0)</f>
        <v>#N/A</v>
      </c>
    </row>
    <row r="17" spans="1:17" x14ac:dyDescent="0.3">
      <c r="A17" s="39" t="str">
        <f>'Gr. B'!B11</f>
        <v>Bomb</v>
      </c>
      <c r="B17" s="39" t="str">
        <f>'Gr. B'!D11</f>
        <v>Fifko</v>
      </c>
      <c r="C17" s="40">
        <f>IF('Gr. B'!E11="","",'Gr. B'!E11)</f>
        <v>2</v>
      </c>
      <c r="D17" s="40" t="s">
        <v>64</v>
      </c>
      <c r="E17" s="40">
        <f>IF('Gr. B'!G11="","",'Gr. B'!G11)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AndYpsilon</v>
      </c>
      <c r="I17" s="33">
        <f t="shared" si="16"/>
        <v>10</v>
      </c>
      <c r="J17" s="21">
        <f t="shared" si="17"/>
        <v>6</v>
      </c>
      <c r="K17" s="21">
        <f t="shared" si="18"/>
        <v>1</v>
      </c>
      <c r="L17" s="21">
        <f t="shared" si="19"/>
        <v>3</v>
      </c>
      <c r="M17" s="32">
        <f t="shared" si="20"/>
        <v>26</v>
      </c>
      <c r="N17" s="33">
        <f t="shared" si="21"/>
        <v>20</v>
      </c>
      <c r="O17" s="21">
        <f t="shared" si="22"/>
        <v>6</v>
      </c>
      <c r="P17" s="32">
        <f t="shared" si="23"/>
        <v>19</v>
      </c>
      <c r="Q17" s="21" t="e">
        <f>VLOOKUP(H17,'Master+'!$E$8:$H$15,3,0)</f>
        <v>#N/A</v>
      </c>
    </row>
    <row r="18" spans="1:17" x14ac:dyDescent="0.3">
      <c r="A18" s="39" t="str">
        <f>'Gr. B'!B12</f>
        <v>Klaris</v>
      </c>
      <c r="B18" s="39" t="str">
        <f>'Gr. B'!D12</f>
        <v>AndYpsilon</v>
      </c>
      <c r="C18" s="40">
        <f>IF('Gr. B'!E12="","",'Gr. B'!E12)</f>
        <v>1</v>
      </c>
      <c r="D18" s="40" t="s">
        <v>64</v>
      </c>
      <c r="E18" s="40">
        <f>IF('Gr. B'!G12="","",'Gr. B'!G12)</f>
        <v>0</v>
      </c>
      <c r="F18" s="34"/>
      <c r="H18" s="42" t="str">
        <f t="array" ref="H18">INDEX($S$3:$S$8,MATCH(LARGE($AB$3:$AB$8-ROW($AB$3:$AB$8)/COUNT($AB$3:$AB$8),ROW(H18)-ROW(H$15)+1),$AB$3:$AB$8-ROW($AB$3:$AB$8)/COUNT($AB$3:$AB$8),0))</f>
        <v>Fifko</v>
      </c>
      <c r="I18" s="33">
        <f t="shared" si="16"/>
        <v>10</v>
      </c>
      <c r="J18" s="21">
        <f t="shared" si="17"/>
        <v>3</v>
      </c>
      <c r="K18" s="21">
        <f t="shared" si="18"/>
        <v>0</v>
      </c>
      <c r="L18" s="21">
        <f t="shared" si="19"/>
        <v>7</v>
      </c>
      <c r="M18" s="32">
        <f t="shared" si="20"/>
        <v>15</v>
      </c>
      <c r="N18" s="33">
        <f t="shared" si="21"/>
        <v>22</v>
      </c>
      <c r="O18" s="21">
        <f t="shared" si="22"/>
        <v>-7</v>
      </c>
      <c r="P18" s="32">
        <f t="shared" si="23"/>
        <v>9</v>
      </c>
      <c r="Q18" s="21" t="e">
        <f>VLOOKUP(H18,'Master+'!$E$8:$H$15,3,0)</f>
        <v>#N/A</v>
      </c>
    </row>
    <row r="19" spans="1:17" x14ac:dyDescent="0.3">
      <c r="A19" s="39" t="str">
        <f>'Gr. B'!B13</f>
        <v>Klaris</v>
      </c>
      <c r="B19" s="39" t="str">
        <f>'Gr. B'!D13</f>
        <v>Paider</v>
      </c>
      <c r="C19" s="40">
        <f>IF('Gr. B'!E13="","",'Gr. B'!E13)</f>
        <v>2</v>
      </c>
      <c r="D19" s="40" t="s">
        <v>64</v>
      </c>
      <c r="E19" s="40">
        <f>IF('Gr. B'!G13="","",'Gr. B'!G13)</f>
        <v>2</v>
      </c>
      <c r="H19" s="42" t="str">
        <f t="array" ref="H19">INDEX($S$3:$S$8,MATCH(LARGE($AB$3:$AB$8-ROW($AB$3:$AB$8)/COUNT($AB$3:$AB$8),ROW(H19)-ROW(H$15)+1),$AB$3:$AB$8-ROW($AB$3:$AB$8)/COUNT($AB$3:$AB$8),0))</f>
        <v>Paider</v>
      </c>
      <c r="I19" s="33">
        <f t="shared" si="16"/>
        <v>10</v>
      </c>
      <c r="J19" s="21">
        <f t="shared" si="17"/>
        <v>1</v>
      </c>
      <c r="K19" s="21">
        <f t="shared" si="18"/>
        <v>4</v>
      </c>
      <c r="L19" s="21">
        <f t="shared" si="19"/>
        <v>5</v>
      </c>
      <c r="M19" s="32">
        <f t="shared" si="20"/>
        <v>13</v>
      </c>
      <c r="N19" s="33">
        <f t="shared" si="21"/>
        <v>19</v>
      </c>
      <c r="O19" s="21">
        <f t="shared" si="22"/>
        <v>-6</v>
      </c>
      <c r="P19" s="32">
        <f t="shared" si="23"/>
        <v>7</v>
      </c>
      <c r="Q19" s="21" t="e">
        <f>VLOOKUP(H19,'Master+'!$E$8:$H$15,3,0)</f>
        <v>#N/A</v>
      </c>
    </row>
    <row r="20" spans="1:17" x14ac:dyDescent="0.3">
      <c r="A20" s="39" t="str">
        <f>'Gr. B'!B14</f>
        <v>Klaris</v>
      </c>
      <c r="B20" s="39" t="str">
        <f>'Gr. B'!D14</f>
        <v>GoaGuru</v>
      </c>
      <c r="C20" s="40">
        <f>IF('Gr. B'!E14="","",'Gr. B'!E14)</f>
        <v>2</v>
      </c>
      <c r="D20" s="40" t="s">
        <v>64</v>
      </c>
      <c r="E20" s="40">
        <f>IF('Gr. B'!G14="","",'Gr. B'!G14)</f>
        <v>1</v>
      </c>
      <c r="H20" s="42" t="str">
        <f t="array" ref="H20">INDEX($S$3:$S$8,MATCH(LARGE($AB$3:$AB$8-ROW($AB$3:$AB$8)/COUNT($AB$3:$AB$8),ROW(H20)-ROW(H$15)+1),$AB$3:$AB$8-ROW($AB$3:$AB$8)/COUNT($AB$3:$AB$8),0))</f>
        <v>GoaGuru</v>
      </c>
      <c r="I20" s="33">
        <f t="shared" si="16"/>
        <v>10</v>
      </c>
      <c r="J20" s="21">
        <f t="shared" si="17"/>
        <v>0</v>
      </c>
      <c r="K20" s="21">
        <f t="shared" si="18"/>
        <v>3</v>
      </c>
      <c r="L20" s="21">
        <f t="shared" si="19"/>
        <v>7</v>
      </c>
      <c r="M20" s="32">
        <f t="shared" si="20"/>
        <v>9</v>
      </c>
      <c r="N20" s="33">
        <f t="shared" si="21"/>
        <v>24</v>
      </c>
      <c r="O20" s="21">
        <f t="shared" si="22"/>
        <v>-15</v>
      </c>
      <c r="P20" s="32">
        <f t="shared" si="23"/>
        <v>3</v>
      </c>
      <c r="Q20" s="21" t="e">
        <f>VLOOKUP(H20,'Master+'!$E$8:$H$15,3,0)</f>
        <v>#N/A</v>
      </c>
    </row>
    <row r="21" spans="1:17" x14ac:dyDescent="0.3">
      <c r="A21" s="39" t="str">
        <f>'Gr. B'!B15</f>
        <v>Klaris</v>
      </c>
      <c r="B21" s="39" t="str">
        <f>'Gr. B'!D15</f>
        <v>Fifko</v>
      </c>
      <c r="C21" s="40">
        <f>IF('Gr. B'!E15="","",'Gr. B'!E15)</f>
        <v>2</v>
      </c>
      <c r="D21" s="40" t="s">
        <v>64</v>
      </c>
      <c r="E21" s="40">
        <f>IF('Gr. B'!G15="","",'Gr. B'!G15)</f>
        <v>1</v>
      </c>
      <c r="Q21" s="21"/>
    </row>
    <row r="22" spans="1:17" x14ac:dyDescent="0.3">
      <c r="A22" s="39" t="str">
        <f>'Gr. B'!B16</f>
        <v>AndYpsilon</v>
      </c>
      <c r="B22" s="39" t="str">
        <f>'Gr. B'!D16</f>
        <v>Paider</v>
      </c>
      <c r="C22" s="40">
        <f>IF('Gr. B'!E16="","",'Gr. B'!E16)</f>
        <v>5</v>
      </c>
      <c r="D22" s="40" t="s">
        <v>64</v>
      </c>
      <c r="E22" s="40">
        <f>IF('Gr. B'!G16="","",'Gr. B'!G16)</f>
        <v>3</v>
      </c>
      <c r="Q22" s="21"/>
    </row>
    <row r="23" spans="1:17" x14ac:dyDescent="0.3">
      <c r="A23" s="39" t="str">
        <f>'Gr. B'!B17</f>
        <v>AndYpsilon</v>
      </c>
      <c r="B23" s="39" t="str">
        <f>'Gr. B'!D17</f>
        <v>GoaGuru</v>
      </c>
      <c r="C23" s="40">
        <f>IF('Gr. B'!E17="","",'Gr. B'!E17)</f>
        <v>4</v>
      </c>
      <c r="D23" s="40" t="s">
        <v>64</v>
      </c>
      <c r="E23" s="40">
        <f>IF('Gr. B'!G17="","",'Gr. B'!G17)</f>
        <v>3</v>
      </c>
    </row>
    <row r="24" spans="1:17" x14ac:dyDescent="0.3">
      <c r="A24" s="39" t="str">
        <f>'Gr. B'!B18</f>
        <v>AndYpsilon</v>
      </c>
      <c r="B24" s="39" t="str">
        <f>'Gr. B'!D18</f>
        <v>Fifko</v>
      </c>
      <c r="C24" s="40">
        <f>IF('Gr. B'!E18="","",'Gr. B'!E18)</f>
        <v>5</v>
      </c>
      <c r="D24" s="40" t="s">
        <v>64</v>
      </c>
      <c r="E24" s="40">
        <f>IF('Gr. B'!G18="","",'Gr. B'!G18)</f>
        <v>2</v>
      </c>
    </row>
    <row r="25" spans="1:17" x14ac:dyDescent="0.3">
      <c r="A25" s="39" t="str">
        <f>'Gr. B'!B19</f>
        <v>Paider</v>
      </c>
      <c r="B25" s="39" t="str">
        <f>'Gr. B'!D19</f>
        <v>GoaGuru</v>
      </c>
      <c r="C25" s="40">
        <f>IF('Gr. B'!E19="","",'Gr. B'!E19)</f>
        <v>1</v>
      </c>
      <c r="D25" s="40" t="s">
        <v>64</v>
      </c>
      <c r="E25" s="40">
        <f>IF('Gr. B'!G19="","",'Gr. B'!G19)</f>
        <v>1</v>
      </c>
    </row>
    <row r="26" spans="1:17" x14ac:dyDescent="0.3">
      <c r="A26" s="39" t="str">
        <f>'Gr. B'!B20</f>
        <v>Paider</v>
      </c>
      <c r="B26" s="39" t="str">
        <f>'Gr. B'!D20</f>
        <v>Fifko</v>
      </c>
      <c r="C26" s="40">
        <f>IF('Gr. B'!E20="","",'Gr. B'!E20)</f>
        <v>4</v>
      </c>
      <c r="D26" s="40" t="s">
        <v>64</v>
      </c>
      <c r="E26" s="40">
        <f>IF('Gr. B'!G20="","",'Gr. B'!G20)</f>
        <v>1</v>
      </c>
    </row>
    <row r="27" spans="1:17" x14ac:dyDescent="0.3">
      <c r="A27" s="39" t="str">
        <f>'Gr. B'!B21</f>
        <v>GoaGuru</v>
      </c>
      <c r="B27" s="39" t="str">
        <f>'Gr. B'!D21</f>
        <v>Fifko</v>
      </c>
      <c r="C27" s="40">
        <f>IF('Gr. B'!E21="","",'Gr. B'!E21)</f>
        <v>0</v>
      </c>
      <c r="D27" s="40" t="s">
        <v>64</v>
      </c>
      <c r="E27" s="40">
        <f>IF('Gr. B'!G21="","",'Gr. B'!G21)</f>
        <v>1</v>
      </c>
    </row>
    <row r="28" spans="1:17" x14ac:dyDescent="0.3">
      <c r="A28" s="39" t="str">
        <f>'Gr. B'!J7</f>
        <v>Klaris</v>
      </c>
      <c r="B28" s="39" t="str">
        <f>'Gr. B'!L7</f>
        <v>Bomb</v>
      </c>
      <c r="C28" s="40">
        <f>IF('Gr. B'!M7="","",'Gr. B'!M7)</f>
        <v>1</v>
      </c>
      <c r="D28" s="40" t="s">
        <v>64</v>
      </c>
      <c r="E28" s="40">
        <f>IF('Gr. B'!O7="","",'Gr. B'!O7)</f>
        <v>0</v>
      </c>
    </row>
    <row r="29" spans="1:17" x14ac:dyDescent="0.3">
      <c r="A29" s="39" t="str">
        <f>'Gr. B'!J8</f>
        <v>AndYpsilon</v>
      </c>
      <c r="B29" s="39" t="str">
        <f>'Gr. B'!L8</f>
        <v>Bomb</v>
      </c>
      <c r="C29" s="40">
        <f>IF('Gr. B'!M8="","",'Gr. B'!M8)</f>
        <v>2</v>
      </c>
      <c r="D29" s="40" t="s">
        <v>64</v>
      </c>
      <c r="E29" s="40">
        <f>IF('Gr. B'!O8="","",'Gr. B'!O8)</f>
        <v>3</v>
      </c>
    </row>
    <row r="30" spans="1:17" x14ac:dyDescent="0.3">
      <c r="A30" s="39" t="str">
        <f>'Gr. B'!J9</f>
        <v>Paider</v>
      </c>
      <c r="B30" s="39" t="str">
        <f>'Gr. B'!L9</f>
        <v>Bomb</v>
      </c>
      <c r="C30" s="40">
        <f>IF('Gr. B'!M9="","",'Gr. B'!M9)</f>
        <v>1</v>
      </c>
      <c r="D30" s="40" t="s">
        <v>64</v>
      </c>
      <c r="E30" s="40">
        <f>IF('Gr. B'!O9="","",'Gr. B'!O9)</f>
        <v>2</v>
      </c>
    </row>
    <row r="31" spans="1:17" x14ac:dyDescent="0.3">
      <c r="A31" s="39" t="str">
        <f>'Gr. B'!J10</f>
        <v>GoaGuru</v>
      </c>
      <c r="B31" s="39" t="str">
        <f>'Gr. B'!L10</f>
        <v>Bomb</v>
      </c>
      <c r="C31" s="40">
        <f>IF('Gr. B'!M10="","",'Gr. B'!M10)</f>
        <v>0</v>
      </c>
      <c r="D31" s="40" t="s">
        <v>64</v>
      </c>
      <c r="E31" s="40">
        <f>IF('Gr. B'!O10="","",'Gr. B'!O10)</f>
        <v>5</v>
      </c>
    </row>
    <row r="32" spans="1:17" x14ac:dyDescent="0.3">
      <c r="A32" s="39" t="str">
        <f>'Gr. B'!J11</f>
        <v>Fifko</v>
      </c>
      <c r="B32" s="39" t="str">
        <f>'Gr. B'!L11</f>
        <v>Bomb</v>
      </c>
      <c r="C32" s="40">
        <f>IF('Gr. B'!M11="","",'Gr. B'!M11)</f>
        <v>3</v>
      </c>
      <c r="D32" s="40" t="s">
        <v>64</v>
      </c>
      <c r="E32" s="40">
        <f>IF('Gr. B'!O11="","",'Gr. B'!O11)</f>
        <v>4</v>
      </c>
    </row>
    <row r="33" spans="1:5" x14ac:dyDescent="0.3">
      <c r="A33" s="39" t="str">
        <f>'Gr. B'!J12</f>
        <v>AndYpsilon</v>
      </c>
      <c r="B33" s="39" t="str">
        <f>'Gr. B'!L12</f>
        <v>Klaris</v>
      </c>
      <c r="C33" s="40">
        <f>IF('Gr. B'!M12="","",'Gr. B'!M12)</f>
        <v>1</v>
      </c>
      <c r="D33" s="40" t="s">
        <v>64</v>
      </c>
      <c r="E33" s="40">
        <f>IF('Gr. B'!O12="","",'Gr. B'!O12)</f>
        <v>4</v>
      </c>
    </row>
    <row r="34" spans="1:5" x14ac:dyDescent="0.3">
      <c r="A34" s="39" t="str">
        <f>'Gr. B'!J13</f>
        <v>Paider</v>
      </c>
      <c r="B34" s="39" t="str">
        <f>'Gr. B'!L13</f>
        <v>Klaris</v>
      </c>
      <c r="C34" s="40">
        <f>IF('Gr. B'!M13="","",'Gr. B'!M13)</f>
        <v>2</v>
      </c>
      <c r="D34" s="40" t="s">
        <v>64</v>
      </c>
      <c r="E34" s="40">
        <f>IF('Gr. B'!O13="","",'Gr. B'!O13)</f>
        <v>2</v>
      </c>
    </row>
    <row r="35" spans="1:5" x14ac:dyDescent="0.3">
      <c r="A35" s="39" t="str">
        <f>'Gr. B'!J14</f>
        <v>GoaGuru</v>
      </c>
      <c r="B35" s="39" t="str">
        <f>'Gr. B'!L14</f>
        <v>Klaris</v>
      </c>
      <c r="C35" s="40">
        <f>IF('Gr. B'!M14="","",'Gr. B'!M14)</f>
        <v>2</v>
      </c>
      <c r="D35" s="40" t="s">
        <v>64</v>
      </c>
      <c r="E35" s="40">
        <f>IF('Gr. B'!O14="","",'Gr. B'!O14)</f>
        <v>2</v>
      </c>
    </row>
    <row r="36" spans="1:5" x14ac:dyDescent="0.3">
      <c r="A36" s="39" t="str">
        <f>'Gr. B'!J15</f>
        <v>Fifko</v>
      </c>
      <c r="B36" s="39" t="str">
        <f>'Gr. B'!L15</f>
        <v>Klaris</v>
      </c>
      <c r="C36" s="40">
        <f>IF('Gr. B'!M15="","",'Gr. B'!M15)</f>
        <v>1</v>
      </c>
      <c r="D36" s="40" t="s">
        <v>64</v>
      </c>
      <c r="E36" s="40">
        <f>IF('Gr. B'!O15="","",'Gr. B'!O15)</f>
        <v>3</v>
      </c>
    </row>
    <row r="37" spans="1:5" x14ac:dyDescent="0.3">
      <c r="A37" s="39" t="str">
        <f>'Gr. B'!J16</f>
        <v>Paider</v>
      </c>
      <c r="B37" s="39" t="str">
        <f>'Gr. B'!L16</f>
        <v>AndYpsilon</v>
      </c>
      <c r="C37" s="40">
        <f>IF('Gr. B'!M16="","",'Gr. B'!M16)</f>
        <v>0</v>
      </c>
      <c r="D37" s="40" t="s">
        <v>64</v>
      </c>
      <c r="E37" s="40">
        <f>IF('Gr. B'!O16="","",'Gr. B'!O16)</f>
        <v>3</v>
      </c>
    </row>
    <row r="38" spans="1:5" x14ac:dyDescent="0.3">
      <c r="A38" s="39" t="str">
        <f>'Gr. B'!J17</f>
        <v>GoaGuru</v>
      </c>
      <c r="B38" s="39" t="str">
        <f>'Gr. B'!L17</f>
        <v>AndYpsilon</v>
      </c>
      <c r="C38" s="40">
        <f>IF('Gr. B'!M17="","",'Gr. B'!M17)</f>
        <v>1</v>
      </c>
      <c r="D38" s="40" t="s">
        <v>64</v>
      </c>
      <c r="E38" s="40">
        <f>IF('Gr. B'!O17="","",'Gr. B'!O17)</f>
        <v>2</v>
      </c>
    </row>
    <row r="39" spans="1:5" x14ac:dyDescent="0.3">
      <c r="A39" s="39" t="str">
        <f>'Gr. B'!J18</f>
        <v>Fifko</v>
      </c>
      <c r="B39" s="39" t="str">
        <f>'Gr. B'!L18</f>
        <v>AndYpsilon</v>
      </c>
      <c r="C39" s="40">
        <f>IF('Gr. B'!M18="","",'Gr. B'!M18)</f>
        <v>1</v>
      </c>
      <c r="D39" s="40" t="s">
        <v>64</v>
      </c>
      <c r="E39" s="40">
        <f>IF('Gr. B'!O18="","",'Gr. B'!O18)</f>
        <v>2</v>
      </c>
    </row>
    <row r="40" spans="1:5" x14ac:dyDescent="0.3">
      <c r="A40" s="39" t="str">
        <f>'Gr. B'!J19</f>
        <v>GoaGuru</v>
      </c>
      <c r="B40" s="39" t="str">
        <f>'Gr. B'!L19</f>
        <v>Paider</v>
      </c>
      <c r="C40" s="40">
        <f>IF('Gr. B'!M19="","",'Gr. B'!M19)</f>
        <v>0</v>
      </c>
      <c r="D40" s="40" t="s">
        <v>64</v>
      </c>
      <c r="E40" s="40">
        <f>IF('Gr. B'!O19="","",'Gr. B'!O19)</f>
        <v>0</v>
      </c>
    </row>
    <row r="41" spans="1:5" x14ac:dyDescent="0.3">
      <c r="A41" s="39" t="str">
        <f>'Gr. B'!J20</f>
        <v>Fifko</v>
      </c>
      <c r="B41" s="39" t="str">
        <f>'Gr. B'!L20</f>
        <v>Paider</v>
      </c>
      <c r="C41" s="40">
        <f>IF('Gr. B'!M20="","",'Gr. B'!M20)</f>
        <v>2</v>
      </c>
      <c r="D41" s="40" t="s">
        <v>64</v>
      </c>
      <c r="E41" s="40">
        <f>IF('Gr. B'!O20="","",'Gr. B'!O20)</f>
        <v>0</v>
      </c>
    </row>
    <row r="42" spans="1:5" x14ac:dyDescent="0.3">
      <c r="A42" s="39" t="str">
        <f>'Gr. B'!J21</f>
        <v>Fifko</v>
      </c>
      <c r="B42" s="39" t="str">
        <f>'Gr. B'!L21</f>
        <v>GoaGuru</v>
      </c>
      <c r="C42" s="40">
        <f>IF('Gr. B'!M21="","",'Gr. B'!M21)</f>
        <v>3</v>
      </c>
      <c r="D42" s="40" t="s">
        <v>64</v>
      </c>
      <c r="E42" s="40">
        <f>IF('Gr. B'!O21="","",'Gr. B'!O21)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workbookViewId="0">
      <selection activeCell="A4" sqref="A4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'Gr. C+'!E8</f>
        <v>Blazej</v>
      </c>
      <c r="C2" s="275"/>
      <c r="D2" s="276"/>
      <c r="E2" s="283" t="str">
        <f>IFERROR('Gr. C+'!D2,"-")</f>
        <v>Group C</v>
      </c>
      <c r="F2" s="284"/>
      <c r="G2" s="284"/>
      <c r="H2" s="284"/>
      <c r="I2" s="285"/>
      <c r="J2" s="274" t="str">
        <f>'Gr. C+'!E11</f>
        <v>xflea</v>
      </c>
      <c r="K2" s="275"/>
      <c r="L2" s="276"/>
    </row>
    <row r="3" spans="1:15" ht="19.5" customHeight="1" thickBot="1" x14ac:dyDescent="0.35">
      <c r="A3" s="6"/>
      <c r="B3" s="274" t="str">
        <f>'Gr. C+'!E9</f>
        <v>Lobo</v>
      </c>
      <c r="C3" s="275"/>
      <c r="D3" s="276"/>
      <c r="E3" s="283"/>
      <c r="F3" s="284"/>
      <c r="G3" s="284"/>
      <c r="H3" s="284"/>
      <c r="I3" s="285"/>
      <c r="J3" s="274" t="str">
        <f>'Gr. C+'!E12</f>
        <v>Egebjerg Luxus</v>
      </c>
      <c r="K3" s="275"/>
      <c r="L3" s="276"/>
    </row>
    <row r="4" spans="1:15" ht="19.5" customHeight="1" thickBot="1" x14ac:dyDescent="0.35">
      <c r="A4" s="6"/>
      <c r="B4" s="274" t="str">
        <f>'Gr. C+'!E10</f>
        <v>Szeszesek</v>
      </c>
      <c r="C4" s="275"/>
      <c r="D4" s="276"/>
      <c r="E4" s="6"/>
      <c r="F4" s="6"/>
      <c r="G4" s="6"/>
      <c r="H4" s="6"/>
      <c r="I4" s="6"/>
      <c r="J4" s="274" t="str">
        <f>'Gr. C+'!E13</f>
        <v>Leoninho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215" t="s">
        <v>18</v>
      </c>
      <c r="B6" s="215" t="s">
        <v>15</v>
      </c>
      <c r="C6" s="215"/>
      <c r="D6" s="215" t="s">
        <v>16</v>
      </c>
      <c r="E6" s="273" t="s">
        <v>17</v>
      </c>
      <c r="F6" s="273"/>
      <c r="G6" s="273"/>
      <c r="H6" s="3"/>
      <c r="I6" s="215" t="s">
        <v>18</v>
      </c>
      <c r="J6" s="215" t="s">
        <v>15</v>
      </c>
      <c r="K6" s="215"/>
      <c r="L6" s="215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IFERROR(VLOOKUP('Gr. C+'!C16,'Gr. C+'!$D$8:$E$13,2,0),"-")</f>
        <v>Blazej</v>
      </c>
      <c r="C7" s="5" t="s">
        <v>19</v>
      </c>
      <c r="D7" s="4" t="str">
        <f>IFERROR(VLOOKUP('Gr. C+'!E16,'Gr. C+'!$D$8:$E$13,2,0),"-")</f>
        <v>Lobo</v>
      </c>
      <c r="E7" s="4">
        <v>2</v>
      </c>
      <c r="F7" s="5" t="s">
        <v>19</v>
      </c>
      <c r="G7" s="4">
        <v>0</v>
      </c>
      <c r="H7" s="6"/>
      <c r="I7" s="4" t="s">
        <v>20</v>
      </c>
      <c r="J7" s="4" t="str">
        <f>IFERROR(VLOOKUP('Gr. C+'!H16,'Gr. C+'!$D$8:$E$13,2,0),"-")</f>
        <v>Lobo</v>
      </c>
      <c r="K7" s="5" t="s">
        <v>19</v>
      </c>
      <c r="L7" s="4" t="str">
        <f>IFERROR(VLOOKUP('Gr. C+'!J16,'Gr. C+'!$D$8:$E$13,2,0),"-")</f>
        <v>Blazej</v>
      </c>
      <c r="M7" s="4">
        <v>2</v>
      </c>
      <c r="N7" s="5" t="s">
        <v>19</v>
      </c>
      <c r="O7" s="4">
        <v>0</v>
      </c>
    </row>
    <row r="8" spans="1:15" s="49" customFormat="1" ht="18" customHeight="1" thickBot="1" x14ac:dyDescent="0.35">
      <c r="A8" s="4" t="s">
        <v>1</v>
      </c>
      <c r="B8" s="4" t="str">
        <f>IFERROR(VLOOKUP('Gr. C+'!C17,'Gr. C+'!$D$8:$E$13,2,0),"-")</f>
        <v>Blazej</v>
      </c>
      <c r="C8" s="5" t="s">
        <v>19</v>
      </c>
      <c r="D8" s="4" t="str">
        <f>IFERROR(VLOOKUP('Gr. C+'!E17,'Gr. C+'!$D$8:$E$13,2,0),"-")</f>
        <v>Szeszesek</v>
      </c>
      <c r="E8" s="4">
        <v>1</v>
      </c>
      <c r="F8" s="5" t="s">
        <v>19</v>
      </c>
      <c r="G8" s="4">
        <v>0</v>
      </c>
      <c r="H8" s="6"/>
      <c r="I8" s="4" t="s">
        <v>21</v>
      </c>
      <c r="J8" s="4" t="str">
        <f>IFERROR(VLOOKUP('Gr. C+'!H17,'Gr. C+'!$D$8:$E$13,2,0),"-")</f>
        <v>Szeszesek</v>
      </c>
      <c r="K8" s="5" t="s">
        <v>19</v>
      </c>
      <c r="L8" s="4" t="str">
        <f>IFERROR(VLOOKUP('Gr. C+'!J17,'Gr. C+'!$D$8:$E$13,2,0),"-")</f>
        <v>Blazej</v>
      </c>
      <c r="M8" s="4">
        <v>1</v>
      </c>
      <c r="N8" s="5" t="s">
        <v>19</v>
      </c>
      <c r="O8" s="4">
        <v>3</v>
      </c>
    </row>
    <row r="9" spans="1:15" s="49" customFormat="1" ht="18" customHeight="1" thickBot="1" x14ac:dyDescent="0.35">
      <c r="A9" s="4" t="s">
        <v>2</v>
      </c>
      <c r="B9" s="4" t="str">
        <f>IFERROR(VLOOKUP('Gr. C+'!C18,'Gr. C+'!$D$8:$E$13,2,0),"-")</f>
        <v>Blazej</v>
      </c>
      <c r="C9" s="5" t="s">
        <v>19</v>
      </c>
      <c r="D9" s="4" t="str">
        <f>IFERROR(VLOOKUP('Gr. C+'!E18,'Gr. C+'!$D$8:$E$13,2,0),"-")</f>
        <v>xflea</v>
      </c>
      <c r="E9" s="4">
        <v>3</v>
      </c>
      <c r="F9" s="5" t="s">
        <v>19</v>
      </c>
      <c r="G9" s="4">
        <v>0</v>
      </c>
      <c r="H9" s="6"/>
      <c r="I9" s="4" t="s">
        <v>22</v>
      </c>
      <c r="J9" s="4" t="str">
        <f>IFERROR(VLOOKUP('Gr. C+'!H18,'Gr. C+'!$D$8:$E$13,2,0),"-")</f>
        <v>xflea</v>
      </c>
      <c r="K9" s="5" t="s">
        <v>19</v>
      </c>
      <c r="L9" s="4" t="str">
        <f>IFERROR(VLOOKUP('Gr. C+'!J18,'Gr. C+'!$D$8:$E$13,2,0),"-")</f>
        <v>Blazej</v>
      </c>
      <c r="M9" s="4">
        <v>1</v>
      </c>
      <c r="N9" s="5" t="s">
        <v>19</v>
      </c>
      <c r="O9" s="4">
        <v>3</v>
      </c>
    </row>
    <row r="10" spans="1:15" s="49" customFormat="1" ht="18" customHeight="1" thickBot="1" x14ac:dyDescent="0.35">
      <c r="A10" s="4" t="s">
        <v>3</v>
      </c>
      <c r="B10" s="4" t="str">
        <f>IFERROR(VLOOKUP('Gr. C+'!C19,'Gr. C+'!$D$8:$E$13,2,0),"-")</f>
        <v>Blazej</v>
      </c>
      <c r="C10" s="5" t="s">
        <v>19</v>
      </c>
      <c r="D10" s="4" t="str">
        <f>IFERROR(VLOOKUP('Gr. C+'!E19,'Gr. C+'!$D$8:$E$13,2,0),"-")</f>
        <v>Egebjerg Luxus</v>
      </c>
      <c r="E10" s="4">
        <v>2</v>
      </c>
      <c r="F10" s="5" t="s">
        <v>19</v>
      </c>
      <c r="G10" s="4">
        <v>0</v>
      </c>
      <c r="H10" s="6"/>
      <c r="I10" s="4" t="s">
        <v>23</v>
      </c>
      <c r="J10" s="4" t="str">
        <f>IFERROR(VLOOKUP('Gr. C+'!H19,'Gr. C+'!$D$8:$E$13,2,0),"-")</f>
        <v>Egebjerg Luxus</v>
      </c>
      <c r="K10" s="5" t="s">
        <v>19</v>
      </c>
      <c r="L10" s="4" t="str">
        <f>IFERROR(VLOOKUP('Gr. C+'!J19,'Gr. C+'!$D$8:$E$13,2,0),"-")</f>
        <v>Blazej</v>
      </c>
      <c r="M10" s="4">
        <v>0</v>
      </c>
      <c r="N10" s="5" t="s">
        <v>19</v>
      </c>
      <c r="O10" s="4">
        <v>5</v>
      </c>
    </row>
    <row r="11" spans="1:15" s="49" customFormat="1" ht="18" customHeight="1" thickBot="1" x14ac:dyDescent="0.35">
      <c r="A11" s="4" t="s">
        <v>4</v>
      </c>
      <c r="B11" s="4" t="str">
        <f>IFERROR(VLOOKUP('Gr. C+'!C20,'Gr. C+'!$D$8:$E$13,2,0),"-")</f>
        <v>Blazej</v>
      </c>
      <c r="C11" s="5" t="s">
        <v>19</v>
      </c>
      <c r="D11" s="4" t="str">
        <f>IFERROR(VLOOKUP('Gr. C+'!E20,'Gr. C+'!$D$8:$E$13,2,0),"-")</f>
        <v>Leoninho</v>
      </c>
      <c r="E11" s="4">
        <v>7</v>
      </c>
      <c r="F11" s="5" t="s">
        <v>19</v>
      </c>
      <c r="G11" s="4">
        <v>0</v>
      </c>
      <c r="H11" s="6"/>
      <c r="I11" s="4" t="s">
        <v>24</v>
      </c>
      <c r="J11" s="4" t="str">
        <f>IFERROR(VLOOKUP('Gr. C+'!H20,'Gr. C+'!$D$8:$E$13,2,0),"-")</f>
        <v>Leoninho</v>
      </c>
      <c r="K11" s="5" t="s">
        <v>19</v>
      </c>
      <c r="L11" s="4" t="str">
        <f>IFERROR(VLOOKUP('Gr. C+'!J20,'Gr. C+'!$D$8:$E$13,2,0),"-")</f>
        <v>Blazej</v>
      </c>
      <c r="M11" s="4">
        <v>2</v>
      </c>
      <c r="N11" s="5" t="s">
        <v>19</v>
      </c>
      <c r="O11" s="4">
        <v>3</v>
      </c>
    </row>
    <row r="12" spans="1:15" s="49" customFormat="1" ht="18" customHeight="1" thickBot="1" x14ac:dyDescent="0.35">
      <c r="A12" s="4" t="s">
        <v>5</v>
      </c>
      <c r="B12" s="4" t="str">
        <f>IFERROR(VLOOKUP('Gr. C+'!C21,'Gr. C+'!$D$8:$E$13,2,0),"-")</f>
        <v>Lobo</v>
      </c>
      <c r="C12" s="5" t="s">
        <v>19</v>
      </c>
      <c r="D12" s="4" t="str">
        <f>IFERROR(VLOOKUP('Gr. C+'!E21,'Gr. C+'!$D$8:$E$13,2,0),"-")</f>
        <v>Szeszesek</v>
      </c>
      <c r="E12" s="4">
        <v>2</v>
      </c>
      <c r="F12" s="5" t="s">
        <v>19</v>
      </c>
      <c r="G12" s="4">
        <v>1</v>
      </c>
      <c r="H12" s="6"/>
      <c r="I12" s="4" t="s">
        <v>25</v>
      </c>
      <c r="J12" s="4" t="str">
        <f>IFERROR(VLOOKUP('Gr. C+'!H21,'Gr. C+'!$D$8:$E$13,2,0),"-")</f>
        <v>Szeszesek</v>
      </c>
      <c r="K12" s="5" t="s">
        <v>19</v>
      </c>
      <c r="L12" s="4" t="str">
        <f>IFERROR(VLOOKUP('Gr. C+'!J21,'Gr. C+'!$D$8:$E$13,2,0),"-")</f>
        <v>Lobo</v>
      </c>
      <c r="M12" s="4">
        <v>0</v>
      </c>
      <c r="N12" s="5" t="s">
        <v>19</v>
      </c>
      <c r="O12" s="4">
        <v>1</v>
      </c>
    </row>
    <row r="13" spans="1:15" s="49" customFormat="1" ht="18" customHeight="1" thickBot="1" x14ac:dyDescent="0.35">
      <c r="A13" s="4" t="s">
        <v>6</v>
      </c>
      <c r="B13" s="4" t="str">
        <f>IFERROR(VLOOKUP('Gr. C+'!C22,'Gr. C+'!$D$8:$E$13,2,0),"-")</f>
        <v>Lobo</v>
      </c>
      <c r="C13" s="5" t="s">
        <v>19</v>
      </c>
      <c r="D13" s="4" t="str">
        <f>IFERROR(VLOOKUP('Gr. C+'!E22,'Gr. C+'!$D$8:$E$13,2,0),"-")</f>
        <v>xflea</v>
      </c>
      <c r="E13" s="4">
        <v>3</v>
      </c>
      <c r="F13" s="5" t="s">
        <v>19</v>
      </c>
      <c r="G13" s="4">
        <v>2</v>
      </c>
      <c r="H13" s="6"/>
      <c r="I13" s="4" t="s">
        <v>26</v>
      </c>
      <c r="J13" s="4" t="str">
        <f>IFERROR(VLOOKUP('Gr. C+'!H22,'Gr. C+'!$D$8:$E$13,2,0),"-")</f>
        <v>xflea</v>
      </c>
      <c r="K13" s="5" t="s">
        <v>19</v>
      </c>
      <c r="L13" s="4" t="str">
        <f>IFERROR(VLOOKUP('Gr. C+'!J22,'Gr. C+'!$D$8:$E$13,2,0),"-")</f>
        <v>Lobo</v>
      </c>
      <c r="M13" s="4">
        <v>1</v>
      </c>
      <c r="N13" s="5" t="s">
        <v>19</v>
      </c>
      <c r="O13" s="4">
        <v>6</v>
      </c>
    </row>
    <row r="14" spans="1:15" s="49" customFormat="1" ht="18" customHeight="1" thickBot="1" x14ac:dyDescent="0.35">
      <c r="A14" s="4" t="s">
        <v>7</v>
      </c>
      <c r="B14" s="4" t="str">
        <f>IFERROR(VLOOKUP('Gr. C+'!C23,'Gr. C+'!$D$8:$E$13,2,0),"-")</f>
        <v>Lobo</v>
      </c>
      <c r="C14" s="5" t="s">
        <v>19</v>
      </c>
      <c r="D14" s="4" t="str">
        <f>IFERROR(VLOOKUP('Gr. C+'!E23,'Gr. C+'!$D$8:$E$13,2,0),"-")</f>
        <v>Egebjerg Luxus</v>
      </c>
      <c r="E14" s="4">
        <v>7</v>
      </c>
      <c r="F14" s="5" t="s">
        <v>19</v>
      </c>
      <c r="G14" s="4">
        <v>1</v>
      </c>
      <c r="H14" s="6"/>
      <c r="I14" s="4" t="s">
        <v>27</v>
      </c>
      <c r="J14" s="4" t="str">
        <f>IFERROR(VLOOKUP('Gr. C+'!H23,'Gr. C+'!$D$8:$E$13,2,0),"-")</f>
        <v>Egebjerg Luxus</v>
      </c>
      <c r="K14" s="5" t="s">
        <v>19</v>
      </c>
      <c r="L14" s="4" t="str">
        <f>IFERROR(VLOOKUP('Gr. C+'!J23,'Gr. C+'!$D$8:$E$13,2,0),"-")</f>
        <v>Lobo</v>
      </c>
      <c r="M14" s="4">
        <v>0</v>
      </c>
      <c r="N14" s="5" t="s">
        <v>19</v>
      </c>
      <c r="O14" s="4">
        <v>2</v>
      </c>
    </row>
    <row r="15" spans="1:15" s="49" customFormat="1" ht="18" customHeight="1" thickBot="1" x14ac:dyDescent="0.35">
      <c r="A15" s="4" t="s">
        <v>8</v>
      </c>
      <c r="B15" s="4" t="str">
        <f>IFERROR(VLOOKUP('Gr. C+'!C24,'Gr. C+'!$D$8:$E$13,2,0),"-")</f>
        <v>Lobo</v>
      </c>
      <c r="C15" s="5" t="s">
        <v>19</v>
      </c>
      <c r="D15" s="4" t="str">
        <f>IFERROR(VLOOKUP('Gr. C+'!E24,'Gr. C+'!$D$8:$E$13,2,0),"-")</f>
        <v>Leoninho</v>
      </c>
      <c r="E15" s="4">
        <v>5</v>
      </c>
      <c r="F15" s="5" t="s">
        <v>19</v>
      </c>
      <c r="G15" s="4">
        <v>0</v>
      </c>
      <c r="H15" s="6"/>
      <c r="I15" s="4" t="s">
        <v>28</v>
      </c>
      <c r="J15" s="4" t="str">
        <f>IFERROR(VLOOKUP('Gr. C+'!H24,'Gr. C+'!$D$8:$E$13,2,0),"-")</f>
        <v>Leoninho</v>
      </c>
      <c r="K15" s="5" t="s">
        <v>19</v>
      </c>
      <c r="L15" s="4" t="str">
        <f>IFERROR(VLOOKUP('Gr. C+'!J24,'Gr. C+'!$D$8:$E$13,2,0),"-")</f>
        <v>Lobo</v>
      </c>
      <c r="M15" s="4">
        <v>1</v>
      </c>
      <c r="N15" s="5" t="s">
        <v>19</v>
      </c>
      <c r="O15" s="4">
        <v>5</v>
      </c>
    </row>
    <row r="16" spans="1:15" s="49" customFormat="1" ht="18" customHeight="1" thickBot="1" x14ac:dyDescent="0.35">
      <c r="A16" s="4" t="s">
        <v>9</v>
      </c>
      <c r="B16" s="4" t="str">
        <f>IFERROR(VLOOKUP('Gr. C+'!C25,'Gr. C+'!$D$8:$E$13,2,0),"-")</f>
        <v>Szeszesek</v>
      </c>
      <c r="C16" s="5" t="s">
        <v>19</v>
      </c>
      <c r="D16" s="4" t="str">
        <f>IFERROR(VLOOKUP('Gr. C+'!E25,'Gr. C+'!$D$8:$E$13,2,0),"-")</f>
        <v>xflea</v>
      </c>
      <c r="E16" s="4">
        <v>3</v>
      </c>
      <c r="F16" s="5" t="s">
        <v>19</v>
      </c>
      <c r="G16" s="4">
        <v>0</v>
      </c>
      <c r="H16" s="6"/>
      <c r="I16" s="4" t="s">
        <v>29</v>
      </c>
      <c r="J16" s="4" t="str">
        <f>IFERROR(VLOOKUP('Gr. C+'!H25,'Gr. C+'!$D$8:$E$13,2,0),"-")</f>
        <v>xflea</v>
      </c>
      <c r="K16" s="5" t="s">
        <v>19</v>
      </c>
      <c r="L16" s="4" t="str">
        <f>IFERROR(VLOOKUP('Gr. C+'!J25,'Gr. C+'!$D$8:$E$13,2,0),"-")</f>
        <v>Szeszesek</v>
      </c>
      <c r="M16" s="4">
        <v>2</v>
      </c>
      <c r="N16" s="5" t="s">
        <v>19</v>
      </c>
      <c r="O16" s="4">
        <v>1</v>
      </c>
    </row>
    <row r="17" spans="1:15" s="49" customFormat="1" ht="18" customHeight="1" thickBot="1" x14ac:dyDescent="0.35">
      <c r="A17" s="4" t="s">
        <v>10</v>
      </c>
      <c r="B17" s="4" t="str">
        <f>IFERROR(VLOOKUP('Gr. C+'!C26,'Gr. C+'!$D$8:$E$13,2,0),"-")</f>
        <v>Szeszesek</v>
      </c>
      <c r="C17" s="5" t="s">
        <v>19</v>
      </c>
      <c r="D17" s="4" t="str">
        <f>IFERROR(VLOOKUP('Gr. C+'!E26,'Gr. C+'!$D$8:$E$13,2,0),"-")</f>
        <v>Egebjerg Luxus</v>
      </c>
      <c r="E17" s="4">
        <v>2</v>
      </c>
      <c r="F17" s="5" t="s">
        <v>19</v>
      </c>
      <c r="G17" s="4">
        <v>1</v>
      </c>
      <c r="H17" s="6"/>
      <c r="I17" s="4" t="s">
        <v>30</v>
      </c>
      <c r="J17" s="4" t="str">
        <f>IFERROR(VLOOKUP('Gr. C+'!H26,'Gr. C+'!$D$8:$E$13,2,0),"-")</f>
        <v>Egebjerg Luxus</v>
      </c>
      <c r="K17" s="5" t="s">
        <v>19</v>
      </c>
      <c r="L17" s="4" t="str">
        <f>IFERROR(VLOOKUP('Gr. C+'!J26,'Gr. C+'!$D$8:$E$13,2,0),"-")</f>
        <v>Szeszesek</v>
      </c>
      <c r="M17" s="4">
        <v>2</v>
      </c>
      <c r="N17" s="5" t="s">
        <v>19</v>
      </c>
      <c r="O17" s="4">
        <v>3</v>
      </c>
    </row>
    <row r="18" spans="1:15" s="49" customFormat="1" ht="18" customHeight="1" thickBot="1" x14ac:dyDescent="0.35">
      <c r="A18" s="4" t="s">
        <v>11</v>
      </c>
      <c r="B18" s="4" t="str">
        <f>IFERROR(VLOOKUP('Gr. C+'!C27,'Gr. C+'!$D$8:$E$13,2,0),"-")</f>
        <v>Szeszesek</v>
      </c>
      <c r="C18" s="5" t="s">
        <v>19</v>
      </c>
      <c r="D18" s="4" t="str">
        <f>IFERROR(VLOOKUP('Gr. C+'!E27,'Gr. C+'!$D$8:$E$13,2,0),"-")</f>
        <v>Leoninho</v>
      </c>
      <c r="E18" s="4">
        <v>0</v>
      </c>
      <c r="F18" s="5" t="s">
        <v>19</v>
      </c>
      <c r="G18" s="4">
        <v>0</v>
      </c>
      <c r="H18" s="6"/>
      <c r="I18" s="4" t="s">
        <v>31</v>
      </c>
      <c r="J18" s="4" t="str">
        <f>IFERROR(VLOOKUP('Gr. C+'!H27,'Gr. C+'!$D$8:$E$13,2,0),"-")</f>
        <v>Leoninho</v>
      </c>
      <c r="K18" s="5" t="s">
        <v>19</v>
      </c>
      <c r="L18" s="4" t="str">
        <f>IFERROR(VLOOKUP('Gr. C+'!J27,'Gr. C+'!$D$8:$E$13,2,0),"-")</f>
        <v>Szeszesek</v>
      </c>
      <c r="M18" s="4">
        <v>1</v>
      </c>
      <c r="N18" s="5" t="s">
        <v>19</v>
      </c>
      <c r="O18" s="4">
        <v>0</v>
      </c>
    </row>
    <row r="19" spans="1:15" s="49" customFormat="1" ht="18" customHeight="1" thickBot="1" x14ac:dyDescent="0.35">
      <c r="A19" s="4" t="s">
        <v>12</v>
      </c>
      <c r="B19" s="4" t="str">
        <f>IFERROR(VLOOKUP('Gr. C+'!C28,'Gr. C+'!$D$8:$E$13,2,0),"-")</f>
        <v>xflea</v>
      </c>
      <c r="C19" s="5" t="s">
        <v>19</v>
      </c>
      <c r="D19" s="4" t="str">
        <f>IFERROR(VLOOKUP('Gr. C+'!E28,'Gr. C+'!$D$8:$E$13,2,0),"-")</f>
        <v>Egebjerg Luxus</v>
      </c>
      <c r="E19" s="4">
        <v>3</v>
      </c>
      <c r="F19" s="5" t="s">
        <v>19</v>
      </c>
      <c r="G19" s="4">
        <v>0</v>
      </c>
      <c r="H19" s="6"/>
      <c r="I19" s="4" t="s">
        <v>32</v>
      </c>
      <c r="J19" s="4" t="str">
        <f>IFERROR(VLOOKUP('Gr. C+'!H28,'Gr. C+'!$D$8:$E$13,2,0),"-")</f>
        <v>Egebjerg Luxus</v>
      </c>
      <c r="K19" s="5" t="s">
        <v>19</v>
      </c>
      <c r="L19" s="4" t="str">
        <f>IFERROR(VLOOKUP('Gr. C+'!J28,'Gr. C+'!$D$8:$E$13,2,0),"-")</f>
        <v>xflea</v>
      </c>
      <c r="M19" s="4">
        <v>4</v>
      </c>
      <c r="N19" s="5" t="s">
        <v>19</v>
      </c>
      <c r="O19" s="4">
        <v>1</v>
      </c>
    </row>
    <row r="20" spans="1:15" s="49" customFormat="1" ht="18" customHeight="1" thickBot="1" x14ac:dyDescent="0.35">
      <c r="A20" s="4" t="s">
        <v>13</v>
      </c>
      <c r="B20" s="4" t="str">
        <f>IFERROR(VLOOKUP('Gr. C+'!C29,'Gr. C+'!$D$8:$E$13,2,0),"-")</f>
        <v>xflea</v>
      </c>
      <c r="C20" s="5" t="s">
        <v>19</v>
      </c>
      <c r="D20" s="4" t="str">
        <f>IFERROR(VLOOKUP('Gr. C+'!E29,'Gr. C+'!$D$8:$E$13,2,0),"-")</f>
        <v>Leoninho</v>
      </c>
      <c r="E20" s="4">
        <v>2</v>
      </c>
      <c r="F20" s="5" t="s">
        <v>19</v>
      </c>
      <c r="G20" s="4">
        <v>1</v>
      </c>
      <c r="H20" s="6"/>
      <c r="I20" s="4" t="s">
        <v>33</v>
      </c>
      <c r="J20" s="4" t="str">
        <f>IFERROR(VLOOKUP('Gr. C+'!H29,'Gr. C+'!$D$8:$E$13,2,0),"-")</f>
        <v>Leoninho</v>
      </c>
      <c r="K20" s="5" t="s">
        <v>19</v>
      </c>
      <c r="L20" s="4" t="str">
        <f>IFERROR(VLOOKUP('Gr. C+'!J29,'Gr. C+'!$D$8:$E$13,2,0),"-")</f>
        <v>xflea</v>
      </c>
      <c r="M20" s="4">
        <v>0</v>
      </c>
      <c r="N20" s="5" t="s">
        <v>19</v>
      </c>
      <c r="O20" s="4">
        <v>3</v>
      </c>
    </row>
    <row r="21" spans="1:15" s="49" customFormat="1" ht="18" customHeight="1" thickBot="1" x14ac:dyDescent="0.35">
      <c r="A21" s="4" t="s">
        <v>14</v>
      </c>
      <c r="B21" s="4" t="str">
        <f>IFERROR(VLOOKUP('Gr. C+'!C30,'Gr. C+'!$D$8:$E$13,2,0),"-")</f>
        <v>Egebjerg Luxus</v>
      </c>
      <c r="C21" s="5" t="s">
        <v>19</v>
      </c>
      <c r="D21" s="4" t="str">
        <f>IFERROR(VLOOKUP('Gr. C+'!E30,'Gr. C+'!$D$8:$E$13,2,0),"-")</f>
        <v>Leoninho</v>
      </c>
      <c r="E21" s="4">
        <v>2</v>
      </c>
      <c r="F21" s="5" t="s">
        <v>19</v>
      </c>
      <c r="G21" s="4">
        <v>1</v>
      </c>
      <c r="H21" s="6"/>
      <c r="I21" s="4" t="s">
        <v>34</v>
      </c>
      <c r="J21" s="4" t="str">
        <f>IFERROR(VLOOKUP('Gr. C+'!H30,'Gr. C+'!$D$8:$E$13,2,0),"-")</f>
        <v>Leoninho</v>
      </c>
      <c r="K21" s="5" t="s">
        <v>19</v>
      </c>
      <c r="L21" s="4" t="str">
        <f>IFERROR(VLOOKUP('Gr. C+'!J30,'Gr. C+'!$D$8:$E$13,2,0),"-")</f>
        <v>Egebjerg Luxus</v>
      </c>
      <c r="M21" s="4">
        <v>2</v>
      </c>
      <c r="N21" s="5" t="s">
        <v>19</v>
      </c>
      <c r="O21" s="4">
        <v>0</v>
      </c>
    </row>
  </sheetData>
  <mergeCells count="11">
    <mergeCell ref="B4:D4"/>
    <mergeCell ref="J4:L4"/>
    <mergeCell ref="E6:G6"/>
    <mergeCell ref="M6:O6"/>
    <mergeCell ref="B1:D1"/>
    <mergeCell ref="J1:L1"/>
    <mergeCell ref="B2:D2"/>
    <mergeCell ref="E2:I3"/>
    <mergeCell ref="J2:L2"/>
    <mergeCell ref="B3:D3"/>
    <mergeCell ref="J3:L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workbookViewId="0">
      <selection activeCell="A4" sqref="A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76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">
        <v>125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">
        <v>126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">
        <v>127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">
        <v>128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">
        <v>129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">
        <v>130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215" t="s">
        <v>18</v>
      </c>
      <c r="C15" s="215" t="s">
        <v>15</v>
      </c>
      <c r="D15" s="215"/>
      <c r="E15" s="215" t="s">
        <v>16</v>
      </c>
      <c r="F15" s="3"/>
      <c r="G15" s="215" t="s">
        <v>18</v>
      </c>
      <c r="H15" s="215" t="s">
        <v>15</v>
      </c>
      <c r="I15" s="215"/>
      <c r="J15" s="215" t="s">
        <v>16</v>
      </c>
    </row>
    <row r="16" spans="2:10" ht="16.2" thickBot="1" x14ac:dyDescent="0.35">
      <c r="B16" s="4" t="s">
        <v>0</v>
      </c>
      <c r="C16" s="4">
        <v>1</v>
      </c>
      <c r="D16" s="5" t="s">
        <v>19</v>
      </c>
      <c r="E16" s="4">
        <v>2</v>
      </c>
      <c r="F16" s="6"/>
      <c r="G16" s="4" t="s">
        <v>20</v>
      </c>
      <c r="H16" s="4">
        <v>2</v>
      </c>
      <c r="I16" s="5" t="s">
        <v>19</v>
      </c>
      <c r="J16" s="4">
        <v>1</v>
      </c>
    </row>
    <row r="17" spans="2:10" ht="16.2" thickBot="1" x14ac:dyDescent="0.35">
      <c r="B17" s="4" t="s">
        <v>1</v>
      </c>
      <c r="C17" s="4">
        <v>1</v>
      </c>
      <c r="D17" s="5" t="s">
        <v>19</v>
      </c>
      <c r="E17" s="4">
        <v>3</v>
      </c>
      <c r="F17" s="6"/>
      <c r="G17" s="4" t="s">
        <v>21</v>
      </c>
      <c r="H17" s="4">
        <v>3</v>
      </c>
      <c r="I17" s="5" t="s">
        <v>19</v>
      </c>
      <c r="J17" s="4">
        <v>1</v>
      </c>
    </row>
    <row r="18" spans="2:10" ht="16.2" thickBot="1" x14ac:dyDescent="0.35">
      <c r="B18" s="4" t="s">
        <v>2</v>
      </c>
      <c r="C18" s="4">
        <v>1</v>
      </c>
      <c r="D18" s="5" t="s">
        <v>19</v>
      </c>
      <c r="E18" s="4">
        <v>4</v>
      </c>
      <c r="F18" s="6"/>
      <c r="G18" s="4" t="s">
        <v>22</v>
      </c>
      <c r="H18" s="4">
        <v>4</v>
      </c>
      <c r="I18" s="5" t="s">
        <v>19</v>
      </c>
      <c r="J18" s="4">
        <v>1</v>
      </c>
    </row>
    <row r="19" spans="2:10" ht="16.2" thickBot="1" x14ac:dyDescent="0.35">
      <c r="B19" s="4" t="s">
        <v>3</v>
      </c>
      <c r="C19" s="4">
        <v>1</v>
      </c>
      <c r="D19" s="5" t="s">
        <v>19</v>
      </c>
      <c r="E19" s="4">
        <v>5</v>
      </c>
      <c r="F19" s="6"/>
      <c r="G19" s="4" t="s">
        <v>23</v>
      </c>
      <c r="H19" s="4">
        <v>5</v>
      </c>
      <c r="I19" s="5" t="s">
        <v>19</v>
      </c>
      <c r="J19" s="4">
        <v>1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6</v>
      </c>
      <c r="F20" s="6"/>
      <c r="G20" s="4" t="s">
        <v>24</v>
      </c>
      <c r="H20" s="4">
        <v>6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2</v>
      </c>
      <c r="D21" s="5" t="s">
        <v>19</v>
      </c>
      <c r="E21" s="4">
        <v>3</v>
      </c>
      <c r="F21" s="6"/>
      <c r="G21" s="4" t="s">
        <v>25</v>
      </c>
      <c r="H21" s="4">
        <v>3</v>
      </c>
      <c r="I21" s="5" t="s">
        <v>19</v>
      </c>
      <c r="J21" s="4">
        <v>2</v>
      </c>
    </row>
    <row r="22" spans="2:10" ht="16.2" thickBot="1" x14ac:dyDescent="0.35">
      <c r="B22" s="4" t="s">
        <v>6</v>
      </c>
      <c r="C22" s="4">
        <v>2</v>
      </c>
      <c r="D22" s="5" t="s">
        <v>19</v>
      </c>
      <c r="E22" s="4">
        <v>4</v>
      </c>
      <c r="F22" s="6"/>
      <c r="G22" s="4" t="s">
        <v>26</v>
      </c>
      <c r="H22" s="4">
        <v>4</v>
      </c>
      <c r="I22" s="5" t="s">
        <v>19</v>
      </c>
      <c r="J22" s="4">
        <v>2</v>
      </c>
    </row>
    <row r="23" spans="2:10" ht="16.2" thickBot="1" x14ac:dyDescent="0.35">
      <c r="B23" s="4" t="s">
        <v>7</v>
      </c>
      <c r="C23" s="4">
        <v>2</v>
      </c>
      <c r="D23" s="5" t="s">
        <v>19</v>
      </c>
      <c r="E23" s="4">
        <v>5</v>
      </c>
      <c r="F23" s="6"/>
      <c r="G23" s="4" t="s">
        <v>27</v>
      </c>
      <c r="H23" s="4">
        <v>5</v>
      </c>
      <c r="I23" s="5" t="s">
        <v>19</v>
      </c>
      <c r="J23" s="4">
        <v>2</v>
      </c>
    </row>
    <row r="24" spans="2:10" ht="16.2" thickBot="1" x14ac:dyDescent="0.35">
      <c r="B24" s="4" t="s">
        <v>8</v>
      </c>
      <c r="C24" s="4">
        <v>2</v>
      </c>
      <c r="D24" s="5" t="s">
        <v>19</v>
      </c>
      <c r="E24" s="4">
        <v>6</v>
      </c>
      <c r="F24" s="6"/>
      <c r="G24" s="4" t="s">
        <v>28</v>
      </c>
      <c r="H24" s="4">
        <v>6</v>
      </c>
      <c r="I24" s="5" t="s">
        <v>19</v>
      </c>
      <c r="J24" s="4">
        <v>2</v>
      </c>
    </row>
    <row r="25" spans="2:10" ht="16.2" thickBot="1" x14ac:dyDescent="0.35">
      <c r="B25" s="4" t="s">
        <v>9</v>
      </c>
      <c r="C25" s="4">
        <v>3</v>
      </c>
      <c r="D25" s="5" t="s">
        <v>19</v>
      </c>
      <c r="E25" s="4">
        <v>4</v>
      </c>
      <c r="F25" s="6"/>
      <c r="G25" s="4" t="s">
        <v>29</v>
      </c>
      <c r="H25" s="4">
        <v>4</v>
      </c>
      <c r="I25" s="5" t="s">
        <v>19</v>
      </c>
      <c r="J25" s="4">
        <v>3</v>
      </c>
    </row>
    <row r="26" spans="2:10" ht="16.2" thickBot="1" x14ac:dyDescent="0.35">
      <c r="B26" s="4" t="s">
        <v>10</v>
      </c>
      <c r="C26" s="4">
        <v>3</v>
      </c>
      <c r="D26" s="5" t="s">
        <v>19</v>
      </c>
      <c r="E26" s="4">
        <v>5</v>
      </c>
      <c r="F26" s="6"/>
      <c r="G26" s="4" t="s">
        <v>30</v>
      </c>
      <c r="H26" s="4">
        <v>5</v>
      </c>
      <c r="I26" s="5" t="s">
        <v>19</v>
      </c>
      <c r="J26" s="4">
        <v>3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6</v>
      </c>
      <c r="F27" s="6"/>
      <c r="G27" s="4" t="s">
        <v>31</v>
      </c>
      <c r="H27" s="4">
        <v>6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4</v>
      </c>
      <c r="D28" s="5" t="s">
        <v>19</v>
      </c>
      <c r="E28" s="4">
        <v>5</v>
      </c>
      <c r="F28" s="6"/>
      <c r="G28" s="4" t="s">
        <v>32</v>
      </c>
      <c r="H28" s="4">
        <v>5</v>
      </c>
      <c r="I28" s="5" t="s">
        <v>19</v>
      </c>
      <c r="J28" s="4">
        <v>4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6</v>
      </c>
      <c r="F29" s="6"/>
      <c r="G29" s="4" t="s">
        <v>33</v>
      </c>
      <c r="H29" s="4">
        <v>6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5</v>
      </c>
      <c r="D30" s="5" t="s">
        <v>19</v>
      </c>
      <c r="E30" s="4">
        <v>6</v>
      </c>
      <c r="F30" s="6"/>
      <c r="G30" s="4" t="s">
        <v>34</v>
      </c>
      <c r="H30" s="4">
        <v>6</v>
      </c>
      <c r="I30" s="5" t="s">
        <v>19</v>
      </c>
      <c r="J30" s="4">
        <v>5</v>
      </c>
    </row>
  </sheetData>
  <mergeCells count="8">
    <mergeCell ref="E12:H12"/>
    <mergeCell ref="E13:H13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/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'Gr. C+'!D2</f>
        <v>Group C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Blazej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9</v>
      </c>
      <c r="V3" s="21">
        <f t="array" ref="V3">SUM((home=S3)*(homescore=visitorscore)*ISNUMBER(visitorscore),(visitor=S3)*(visitorscore=homescore)*ISNUMBER(homescore))</f>
        <v>0</v>
      </c>
      <c r="W3" s="21">
        <f t="array" ref="W3">SUM((home=S3)*(homescore&lt;visitorscore),(visitor=S3)*(visitorscore&lt;homescore))</f>
        <v>1</v>
      </c>
      <c r="X3" s="32">
        <f t="shared" ref="X3" si="1">SUMIF(home,S3,homescore)+SUMIF(visitor,S3,visitorscore)</f>
        <v>29</v>
      </c>
      <c r="Y3" s="33">
        <f t="shared" ref="Y3" si="2">SUMIF(home,S3,visitorscore)+SUMIF(visitor,S3,homescore)</f>
        <v>6</v>
      </c>
      <c r="Z3" s="34">
        <f>X3-Y3</f>
        <v>23</v>
      </c>
      <c r="AA3" s="32">
        <f>U3*3+V3</f>
        <v>27</v>
      </c>
      <c r="AB3" s="20">
        <f>X3+Z3*10000+AA3*1000000000</f>
        <v>27000230029</v>
      </c>
    </row>
    <row r="4" spans="1:28" x14ac:dyDescent="0.3">
      <c r="A4" s="35" t="str">
        <f>'Gr. C+'!E8</f>
        <v>Blazej</v>
      </c>
      <c r="B4" s="19"/>
      <c r="C4" s="19"/>
      <c r="S4" s="36" t="str">
        <f t="shared" si="0"/>
        <v>Lobo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9</v>
      </c>
      <c r="V4" s="21">
        <f t="array" ref="V4">SUM((home=S4)*(homescore=visitorscore)*ISNUMBER(visitorscore),(visitor=S4)*(visitorscore=homescore)*ISNUMBER(homescore))</f>
        <v>0</v>
      </c>
      <c r="W4" s="21">
        <f t="array" ref="W4">SUM((home=S4)*(homescore&lt;visitorscore),(visitor=S4)*(visitorscore&lt;homescore))</f>
        <v>1</v>
      </c>
      <c r="X4" s="32">
        <f t="shared" ref="X4" si="3">SUMIF(home,S4,homescore)+SUMIF(visitor,S4,visitorscore)</f>
        <v>33</v>
      </c>
      <c r="Y4" s="33">
        <f t="shared" ref="Y4" si="4">SUMIF(home,S4,visitorscore)+SUMIF(visitor,S4,homescore)</f>
        <v>8</v>
      </c>
      <c r="Z4" s="34">
        <f t="shared" ref="Z4:Z8" si="5">X4-Y4</f>
        <v>25</v>
      </c>
      <c r="AA4" s="32">
        <f t="shared" ref="AA4:AA8" si="6">U4*3+V4</f>
        <v>27</v>
      </c>
      <c r="AB4" s="20">
        <f t="shared" ref="AB4:AB8" si="7">X4+Z4*10000+AA4*1000000000</f>
        <v>27000250033</v>
      </c>
    </row>
    <row r="5" spans="1:28" x14ac:dyDescent="0.3">
      <c r="A5" s="35" t="str">
        <f>'Gr. C+'!E9</f>
        <v>Lobo</v>
      </c>
      <c r="B5" s="19"/>
      <c r="C5" s="19"/>
      <c r="S5" s="36" t="str">
        <f t="shared" si="0"/>
        <v>Szeszesek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3</v>
      </c>
      <c r="V5" s="21">
        <f t="array" ref="V5">SUM((home=S5)*(homescore=visitorscore)*ISNUMBER(visitorscore),(visitor=S5)*(visitorscore=homescore)*ISNUMBER(homescore))</f>
        <v>1</v>
      </c>
      <c r="W5" s="21">
        <f t="array" ref="W5">SUM((home=S5)*(homescore&lt;visitorscore),(visitor=S5)*(visitorscore&lt;homescore))</f>
        <v>6</v>
      </c>
      <c r="X5" s="32">
        <f t="shared" ref="X5" si="8">SUMIF(home,S5,homescore)+SUMIF(visitor,S5,visitorscore)</f>
        <v>11</v>
      </c>
      <c r="Y5" s="33">
        <f t="shared" ref="Y5" si="9">SUMIF(home,S5,visitorscore)+SUMIF(visitor,S5,homescore)</f>
        <v>13</v>
      </c>
      <c r="Z5" s="34">
        <f t="shared" si="5"/>
        <v>-2</v>
      </c>
      <c r="AA5" s="32">
        <f t="shared" si="6"/>
        <v>10</v>
      </c>
      <c r="AB5" s="20">
        <f t="shared" si="7"/>
        <v>9999980011</v>
      </c>
    </row>
    <row r="6" spans="1:28" x14ac:dyDescent="0.3">
      <c r="A6" s="35" t="str">
        <f>'Gr. C+'!E10</f>
        <v>Szeszesek</v>
      </c>
      <c r="B6" s="19"/>
      <c r="C6" s="19"/>
      <c r="S6" s="36" t="str">
        <f t="shared" si="0"/>
        <v>xflea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4</v>
      </c>
      <c r="V6" s="21">
        <f t="array" ref="V6">SUM((home=S6)*(homescore=visitorscore)*ISNUMBER(visitorscore),(visitor=S6)*(visitorscore=homescore)*ISNUMBER(homescore))</f>
        <v>0</v>
      </c>
      <c r="W6" s="21">
        <f t="array" ref="W6">SUM((home=S6)*(homescore&lt;visitorscore),(visitor=S6)*(visitorscore&lt;homescore))</f>
        <v>6</v>
      </c>
      <c r="X6" s="32">
        <f t="shared" ref="X6" si="10">SUMIF(home,S6,homescore)+SUMIF(visitor,S6,visitorscore)</f>
        <v>15</v>
      </c>
      <c r="Y6" s="33">
        <f t="shared" ref="Y6" si="11">SUMIF(home,S6,visitorscore)+SUMIF(visitor,S6,homescore)</f>
        <v>24</v>
      </c>
      <c r="Z6" s="34">
        <f t="shared" si="5"/>
        <v>-9</v>
      </c>
      <c r="AA6" s="32">
        <f t="shared" si="6"/>
        <v>12</v>
      </c>
      <c r="AB6" s="20">
        <f t="shared" si="7"/>
        <v>11999910015</v>
      </c>
    </row>
    <row r="7" spans="1:28" x14ac:dyDescent="0.3">
      <c r="A7" s="35" t="str">
        <f>'Gr. C+'!E11</f>
        <v>xflea</v>
      </c>
      <c r="B7" s="19"/>
      <c r="C7" s="19"/>
      <c r="S7" s="37" t="str">
        <f t="shared" si="0"/>
        <v>Egebjerg Luxus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2</v>
      </c>
      <c r="V7" s="21">
        <f t="array" ref="V7">SUM((home=S7)*(homescore=visitorscore)*ISNUMBER(visitorscore),(visitor=S7)*(visitorscore=homescore)*ISNUMBER(homescore))</f>
        <v>0</v>
      </c>
      <c r="W7" s="21">
        <f t="array" ref="W7">SUM((home=S7)*(homescore&lt;visitorscore),(visitor=S7)*(visitorscore&lt;homescore))</f>
        <v>8</v>
      </c>
      <c r="X7" s="32">
        <f t="shared" ref="X7" si="12">SUMIF(home,S7,homescore)+SUMIF(visitor,S7,visitorscore)</f>
        <v>10</v>
      </c>
      <c r="Y7" s="33">
        <f t="shared" ref="Y7" si="13">SUMIF(home,S7,visitorscore)+SUMIF(visitor,S7,homescore)</f>
        <v>28</v>
      </c>
      <c r="Z7" s="34">
        <f t="shared" si="5"/>
        <v>-18</v>
      </c>
      <c r="AA7" s="32">
        <f t="shared" si="6"/>
        <v>6</v>
      </c>
      <c r="AB7" s="20">
        <f t="shared" si="7"/>
        <v>5999820010</v>
      </c>
    </row>
    <row r="8" spans="1:28" x14ac:dyDescent="0.3">
      <c r="A8" s="35" t="str">
        <f>'Gr. C+'!E12</f>
        <v>Egebjerg Luxus</v>
      </c>
      <c r="B8" s="19"/>
      <c r="C8" s="19"/>
      <c r="S8" s="37" t="str">
        <f t="shared" si="0"/>
        <v>Leoninho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2</v>
      </c>
      <c r="V8" s="21">
        <f t="array" ref="V8">SUM((home=S8)*(homescore=visitorscore)*ISNUMBER(visitorscore),(visitor=S8)*(visitorscore=homescore)*ISNUMBER(homescore))</f>
        <v>1</v>
      </c>
      <c r="W8" s="21">
        <f t="array" ref="W8">SUM((home=S8)*(homescore&lt;visitorscore),(visitor=S8)*(visitorscore&lt;homescore))</f>
        <v>7</v>
      </c>
      <c r="X8" s="32">
        <f t="shared" ref="X8" si="14">SUMIF(home,S8,homescore)+SUMIF(visitor,S8,visitorscore)</f>
        <v>8</v>
      </c>
      <c r="Y8" s="33">
        <f t="shared" ref="Y8" si="15">SUMIF(home,S8,visitorscore)+SUMIF(visitor,S8,homescore)</f>
        <v>27</v>
      </c>
      <c r="Z8" s="34">
        <f t="shared" si="5"/>
        <v>-19</v>
      </c>
      <c r="AA8" s="32">
        <f t="shared" si="6"/>
        <v>7</v>
      </c>
      <c r="AB8" s="20">
        <f t="shared" si="7"/>
        <v>6999810008</v>
      </c>
    </row>
    <row r="9" spans="1:28" x14ac:dyDescent="0.3">
      <c r="A9" s="35" t="str">
        <f>'Gr. C+'!E13</f>
        <v>Leoninho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'Gr. C'!B7</f>
        <v>Blazej</v>
      </c>
      <c r="B13" s="39" t="str">
        <f>'Gr. C'!D7</f>
        <v>Lobo</v>
      </c>
      <c r="C13" s="40">
        <f>IF('Gr. C'!E7="","",'Gr. C'!E7)</f>
        <v>2</v>
      </c>
      <c r="D13" s="40" t="s">
        <v>64</v>
      </c>
      <c r="E13" s="40">
        <f>IF('Gr. C'!G7="","",'Gr. C'!G7)</f>
        <v>0</v>
      </c>
      <c r="F13" s="34"/>
    </row>
    <row r="14" spans="1:28" x14ac:dyDescent="0.3">
      <c r="A14" s="39" t="str">
        <f>'Gr. C'!B8</f>
        <v>Blazej</v>
      </c>
      <c r="B14" s="39" t="str">
        <f>'Gr. C'!D8</f>
        <v>Szeszesek</v>
      </c>
      <c r="C14" s="40">
        <f>IF('Gr. C'!E8="","",'Gr. C'!E8)</f>
        <v>1</v>
      </c>
      <c r="D14" s="40" t="s">
        <v>64</v>
      </c>
      <c r="E14" s="40">
        <f>IF('Gr. C'!G8="","",'Gr. C'!G8)</f>
        <v>0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'Gr. C'!B9</f>
        <v>Blazej</v>
      </c>
      <c r="B15" s="39" t="str">
        <f>'Gr. C'!D9</f>
        <v>xflea</v>
      </c>
      <c r="C15" s="40">
        <f>IF('Gr. C'!E9="","",'Gr. C'!E9)</f>
        <v>3</v>
      </c>
      <c r="D15" s="40" t="s">
        <v>64</v>
      </c>
      <c r="E15" s="40">
        <f>IF('Gr. C'!G9="","",'Gr. C'!G9)</f>
        <v>0</v>
      </c>
      <c r="F15" s="34"/>
      <c r="H15" s="42" t="str">
        <f t="array" ref="H15">INDEX($S$3:$S$8,MATCH(LARGE($AB$3:$AB$8-ROW($AB$3:$AB$8)/COUNT($AB$3:$AB$8),ROW(H15)-ROW(H$15)+1),$AB$3:$AB$8-ROW($AB$3:$AB$8)/COUNT($AB$3:$AB$8),0))</f>
        <v>Lobo</v>
      </c>
      <c r="I15" s="33">
        <f t="shared" ref="I15:I20" si="16">VLOOKUP($H15,$S$3:$AA$8,2,0)</f>
        <v>10</v>
      </c>
      <c r="J15" s="21">
        <f t="shared" ref="J15:J20" si="17">VLOOKUP($H15,$S$3:$AA$8,3,0)</f>
        <v>9</v>
      </c>
      <c r="K15" s="21">
        <f t="shared" ref="K15:K20" si="18">VLOOKUP($H15,$S$3:$AA$8,4,0)</f>
        <v>0</v>
      </c>
      <c r="L15" s="21">
        <f t="shared" ref="L15:L20" si="19">VLOOKUP($H15,$S$3:$AA$8,5,0)</f>
        <v>1</v>
      </c>
      <c r="M15" s="32">
        <f t="shared" ref="M15:M20" si="20">VLOOKUP($H15,$S$3:$AA$8,6,0)</f>
        <v>33</v>
      </c>
      <c r="N15" s="33">
        <f t="shared" ref="N15:N20" si="21">VLOOKUP($H15,$S$3:$AA$8,7,0)</f>
        <v>8</v>
      </c>
      <c r="O15" s="21">
        <f t="shared" ref="O15:O20" si="22">VLOOKUP($H15,$S$3:$AA$8,8,0)</f>
        <v>25</v>
      </c>
      <c r="P15" s="32">
        <f t="shared" ref="P15:P20" si="23">VLOOKUP($H15,$S$3:$AA$8,9,0)</f>
        <v>27</v>
      </c>
      <c r="Q15" s="21">
        <f>VLOOKUP(H15,'Master+'!$E$8:$H$15,3,0)</f>
        <v>0</v>
      </c>
    </row>
    <row r="16" spans="1:28" x14ac:dyDescent="0.3">
      <c r="A16" s="39" t="str">
        <f>'Gr. C'!B10</f>
        <v>Blazej</v>
      </c>
      <c r="B16" s="39" t="str">
        <f>'Gr. C'!D10</f>
        <v>Egebjerg Luxus</v>
      </c>
      <c r="C16" s="40">
        <f>IF('Gr. C'!E10="","",'Gr. C'!E10)</f>
        <v>2</v>
      </c>
      <c r="D16" s="40" t="s">
        <v>64</v>
      </c>
      <c r="E16" s="40">
        <f>IF('Gr. C'!G10="","",'Gr. C'!G10)</f>
        <v>0</v>
      </c>
      <c r="F16" s="34"/>
      <c r="H16" s="42" t="str">
        <f t="array" ref="H16">INDEX($S$3:$S$8,MATCH(LARGE($AB$3:$AB$8-ROW($AB$3:$AB$8)/COUNT($AB$3:$AB$8),ROW(H16)-ROW(H$15)+1),$AB$3:$AB$8-ROW($AB$3:$AB$8)/COUNT($AB$3:$AB$8),0))</f>
        <v>Blazej</v>
      </c>
      <c r="I16" s="33">
        <f t="shared" si="16"/>
        <v>10</v>
      </c>
      <c r="J16" s="21">
        <f t="shared" si="17"/>
        <v>9</v>
      </c>
      <c r="K16" s="21">
        <f t="shared" si="18"/>
        <v>0</v>
      </c>
      <c r="L16" s="21">
        <f t="shared" si="19"/>
        <v>1</v>
      </c>
      <c r="M16" s="32">
        <f t="shared" si="20"/>
        <v>29</v>
      </c>
      <c r="N16" s="33">
        <f t="shared" si="21"/>
        <v>6</v>
      </c>
      <c r="O16" s="21">
        <f t="shared" si="22"/>
        <v>23</v>
      </c>
      <c r="P16" s="32">
        <f t="shared" si="23"/>
        <v>27</v>
      </c>
      <c r="Q16" s="21" t="e">
        <f>VLOOKUP(H16,'Master+'!$E$8:$H$15,3,0)</f>
        <v>#N/A</v>
      </c>
    </row>
    <row r="17" spans="1:17" x14ac:dyDescent="0.3">
      <c r="A17" s="39" t="str">
        <f>'Gr. C'!B11</f>
        <v>Blazej</v>
      </c>
      <c r="B17" s="39" t="str">
        <f>'Gr. C'!D11</f>
        <v>Leoninho</v>
      </c>
      <c r="C17" s="40">
        <f>IF('Gr. C'!E11="","",'Gr. C'!E11)</f>
        <v>7</v>
      </c>
      <c r="D17" s="40" t="s">
        <v>64</v>
      </c>
      <c r="E17" s="40">
        <f>IF('Gr. C'!G11="","",'Gr. C'!G11)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xflea</v>
      </c>
      <c r="I17" s="33">
        <f t="shared" si="16"/>
        <v>10</v>
      </c>
      <c r="J17" s="21">
        <f t="shared" si="17"/>
        <v>4</v>
      </c>
      <c r="K17" s="21">
        <f t="shared" si="18"/>
        <v>0</v>
      </c>
      <c r="L17" s="21">
        <f t="shared" si="19"/>
        <v>6</v>
      </c>
      <c r="M17" s="32">
        <f t="shared" si="20"/>
        <v>15</v>
      </c>
      <c r="N17" s="33">
        <f t="shared" si="21"/>
        <v>24</v>
      </c>
      <c r="O17" s="21">
        <f t="shared" si="22"/>
        <v>-9</v>
      </c>
      <c r="P17" s="32">
        <f t="shared" si="23"/>
        <v>12</v>
      </c>
      <c r="Q17" s="21" t="e">
        <f>VLOOKUP(H17,'Master+'!$E$8:$H$15,3,0)</f>
        <v>#N/A</v>
      </c>
    </row>
    <row r="18" spans="1:17" x14ac:dyDescent="0.3">
      <c r="A18" s="39" t="str">
        <f>'Gr. C'!B12</f>
        <v>Lobo</v>
      </c>
      <c r="B18" s="39" t="str">
        <f>'Gr. C'!D12</f>
        <v>Szeszesek</v>
      </c>
      <c r="C18" s="40">
        <f>IF('Gr. C'!E12="","",'Gr. C'!E12)</f>
        <v>2</v>
      </c>
      <c r="D18" s="40" t="s">
        <v>64</v>
      </c>
      <c r="E18" s="40">
        <f>IF('Gr. C'!G12="","",'Gr. C'!G12)</f>
        <v>1</v>
      </c>
      <c r="F18" s="34"/>
      <c r="H18" s="42" t="str">
        <f t="array" ref="H18">INDEX($S$3:$S$8,MATCH(LARGE($AB$3:$AB$8-ROW($AB$3:$AB$8)/COUNT($AB$3:$AB$8),ROW(H18)-ROW(H$15)+1),$AB$3:$AB$8-ROW($AB$3:$AB$8)/COUNT($AB$3:$AB$8),0))</f>
        <v>Szeszesek</v>
      </c>
      <c r="I18" s="33">
        <f t="shared" si="16"/>
        <v>10</v>
      </c>
      <c r="J18" s="21">
        <f t="shared" si="17"/>
        <v>3</v>
      </c>
      <c r="K18" s="21">
        <f t="shared" si="18"/>
        <v>1</v>
      </c>
      <c r="L18" s="21">
        <f t="shared" si="19"/>
        <v>6</v>
      </c>
      <c r="M18" s="32">
        <f t="shared" si="20"/>
        <v>11</v>
      </c>
      <c r="N18" s="33">
        <f t="shared" si="21"/>
        <v>13</v>
      </c>
      <c r="O18" s="21">
        <f t="shared" si="22"/>
        <v>-2</v>
      </c>
      <c r="P18" s="32">
        <f t="shared" si="23"/>
        <v>10</v>
      </c>
      <c r="Q18" s="21" t="e">
        <f>VLOOKUP(H18,'Master+'!$E$8:$H$15,3,0)</f>
        <v>#N/A</v>
      </c>
    </row>
    <row r="19" spans="1:17" x14ac:dyDescent="0.3">
      <c r="A19" s="39" t="str">
        <f>'Gr. C'!B13</f>
        <v>Lobo</v>
      </c>
      <c r="B19" s="39" t="str">
        <f>'Gr. C'!D13</f>
        <v>xflea</v>
      </c>
      <c r="C19" s="40">
        <f>IF('Gr. C'!E13="","",'Gr. C'!E13)</f>
        <v>3</v>
      </c>
      <c r="D19" s="40" t="s">
        <v>64</v>
      </c>
      <c r="E19" s="40">
        <f>IF('Gr. C'!G13="","",'Gr. C'!G13)</f>
        <v>2</v>
      </c>
      <c r="H19" s="42" t="str">
        <f t="array" ref="H19">INDEX($S$3:$S$8,MATCH(LARGE($AB$3:$AB$8-ROW($AB$3:$AB$8)/COUNT($AB$3:$AB$8),ROW(H19)-ROW(H$15)+1),$AB$3:$AB$8-ROW($AB$3:$AB$8)/COUNT($AB$3:$AB$8),0))</f>
        <v>Leoninho</v>
      </c>
      <c r="I19" s="33">
        <f t="shared" si="16"/>
        <v>10</v>
      </c>
      <c r="J19" s="21">
        <f t="shared" si="17"/>
        <v>2</v>
      </c>
      <c r="K19" s="21">
        <f t="shared" si="18"/>
        <v>1</v>
      </c>
      <c r="L19" s="21">
        <f t="shared" si="19"/>
        <v>7</v>
      </c>
      <c r="M19" s="32">
        <f t="shared" si="20"/>
        <v>8</v>
      </c>
      <c r="N19" s="33">
        <f t="shared" si="21"/>
        <v>27</v>
      </c>
      <c r="O19" s="21">
        <f t="shared" si="22"/>
        <v>-19</v>
      </c>
      <c r="P19" s="32">
        <f t="shared" si="23"/>
        <v>7</v>
      </c>
      <c r="Q19" s="21" t="e">
        <f>VLOOKUP(H19,'Master+'!$E$8:$H$15,3,0)</f>
        <v>#N/A</v>
      </c>
    </row>
    <row r="20" spans="1:17" x14ac:dyDescent="0.3">
      <c r="A20" s="39" t="str">
        <f>'Gr. C'!B14</f>
        <v>Lobo</v>
      </c>
      <c r="B20" s="39" t="str">
        <f>'Gr. C'!D14</f>
        <v>Egebjerg Luxus</v>
      </c>
      <c r="C20" s="40">
        <f>IF('Gr. C'!E14="","",'Gr. C'!E14)</f>
        <v>7</v>
      </c>
      <c r="D20" s="40" t="s">
        <v>64</v>
      </c>
      <c r="E20" s="40">
        <f>IF('Gr. C'!G14="","",'Gr. C'!G14)</f>
        <v>1</v>
      </c>
      <c r="H20" s="42" t="str">
        <f t="array" ref="H20">INDEX($S$3:$S$8,MATCH(LARGE($AB$3:$AB$8-ROW($AB$3:$AB$8)/COUNT($AB$3:$AB$8),ROW(H20)-ROW(H$15)+1),$AB$3:$AB$8-ROW($AB$3:$AB$8)/COUNT($AB$3:$AB$8),0))</f>
        <v>Egebjerg Luxus</v>
      </c>
      <c r="I20" s="33">
        <f t="shared" si="16"/>
        <v>10</v>
      </c>
      <c r="J20" s="21">
        <f t="shared" si="17"/>
        <v>2</v>
      </c>
      <c r="K20" s="21">
        <f t="shared" si="18"/>
        <v>0</v>
      </c>
      <c r="L20" s="21">
        <f t="shared" si="19"/>
        <v>8</v>
      </c>
      <c r="M20" s="32">
        <f t="shared" si="20"/>
        <v>10</v>
      </c>
      <c r="N20" s="33">
        <f t="shared" si="21"/>
        <v>28</v>
      </c>
      <c r="O20" s="21">
        <f t="shared" si="22"/>
        <v>-18</v>
      </c>
      <c r="P20" s="32">
        <f t="shared" si="23"/>
        <v>6</v>
      </c>
      <c r="Q20" s="21" t="e">
        <f>VLOOKUP(H20,'Master+'!$E$8:$H$15,3,0)</f>
        <v>#N/A</v>
      </c>
    </row>
    <row r="21" spans="1:17" x14ac:dyDescent="0.3">
      <c r="A21" s="39" t="str">
        <f>'Gr. C'!B15</f>
        <v>Lobo</v>
      </c>
      <c r="B21" s="39" t="str">
        <f>'Gr. C'!D15</f>
        <v>Leoninho</v>
      </c>
      <c r="C21" s="40">
        <f>IF('Gr. C'!E15="","",'Gr. C'!E15)</f>
        <v>5</v>
      </c>
      <c r="D21" s="40" t="s">
        <v>64</v>
      </c>
      <c r="E21" s="40">
        <f>IF('Gr. C'!G15="","",'Gr. C'!G15)</f>
        <v>0</v>
      </c>
      <c r="Q21" s="21"/>
    </row>
    <row r="22" spans="1:17" x14ac:dyDescent="0.3">
      <c r="A22" s="39" t="str">
        <f>'Gr. C'!B16</f>
        <v>Szeszesek</v>
      </c>
      <c r="B22" s="39" t="str">
        <f>'Gr. C'!D16</f>
        <v>xflea</v>
      </c>
      <c r="C22" s="40">
        <f>IF('Gr. C'!E16="","",'Gr. C'!E16)</f>
        <v>3</v>
      </c>
      <c r="D22" s="40" t="s">
        <v>64</v>
      </c>
      <c r="E22" s="40">
        <f>IF('Gr. C'!G16="","",'Gr. C'!G16)</f>
        <v>0</v>
      </c>
      <c r="Q22" s="21"/>
    </row>
    <row r="23" spans="1:17" x14ac:dyDescent="0.3">
      <c r="A23" s="39" t="str">
        <f>'Gr. C'!B17</f>
        <v>Szeszesek</v>
      </c>
      <c r="B23" s="39" t="str">
        <f>'Gr. C'!D17</f>
        <v>Egebjerg Luxus</v>
      </c>
      <c r="C23" s="40">
        <f>IF('Gr. C'!E17="","",'Gr. C'!E17)</f>
        <v>2</v>
      </c>
      <c r="D23" s="40" t="s">
        <v>64</v>
      </c>
      <c r="E23" s="40">
        <f>IF('Gr. C'!G17="","",'Gr. C'!G17)</f>
        <v>1</v>
      </c>
    </row>
    <row r="24" spans="1:17" x14ac:dyDescent="0.3">
      <c r="A24" s="39" t="str">
        <f>'Gr. C'!B18</f>
        <v>Szeszesek</v>
      </c>
      <c r="B24" s="39" t="str">
        <f>'Gr. C'!D18</f>
        <v>Leoninho</v>
      </c>
      <c r="C24" s="40">
        <f>IF('Gr. C'!E18="","",'Gr. C'!E18)</f>
        <v>0</v>
      </c>
      <c r="D24" s="40" t="s">
        <v>64</v>
      </c>
      <c r="E24" s="40">
        <f>IF('Gr. C'!G18="","",'Gr. C'!G18)</f>
        <v>0</v>
      </c>
    </row>
    <row r="25" spans="1:17" x14ac:dyDescent="0.3">
      <c r="A25" s="39" t="str">
        <f>'Gr. C'!B19</f>
        <v>xflea</v>
      </c>
      <c r="B25" s="39" t="str">
        <f>'Gr. C'!D19</f>
        <v>Egebjerg Luxus</v>
      </c>
      <c r="C25" s="40">
        <f>IF('Gr. C'!E19="","",'Gr. C'!E19)</f>
        <v>3</v>
      </c>
      <c r="D25" s="40" t="s">
        <v>64</v>
      </c>
      <c r="E25" s="40">
        <f>IF('Gr. C'!G19="","",'Gr. C'!G19)</f>
        <v>0</v>
      </c>
    </row>
    <row r="26" spans="1:17" x14ac:dyDescent="0.3">
      <c r="A26" s="39" t="str">
        <f>'Gr. C'!B20</f>
        <v>xflea</v>
      </c>
      <c r="B26" s="39" t="str">
        <f>'Gr. C'!D20</f>
        <v>Leoninho</v>
      </c>
      <c r="C26" s="40">
        <f>IF('Gr. C'!E20="","",'Gr. C'!E20)</f>
        <v>2</v>
      </c>
      <c r="D26" s="40" t="s">
        <v>64</v>
      </c>
      <c r="E26" s="40">
        <f>IF('Gr. C'!G20="","",'Gr. C'!G20)</f>
        <v>1</v>
      </c>
    </row>
    <row r="27" spans="1:17" x14ac:dyDescent="0.3">
      <c r="A27" s="39" t="str">
        <f>'Gr. C'!B21</f>
        <v>Egebjerg Luxus</v>
      </c>
      <c r="B27" s="39" t="str">
        <f>'Gr. C'!D21</f>
        <v>Leoninho</v>
      </c>
      <c r="C27" s="40">
        <f>IF('Gr. C'!E21="","",'Gr. C'!E21)</f>
        <v>2</v>
      </c>
      <c r="D27" s="40" t="s">
        <v>64</v>
      </c>
      <c r="E27" s="40">
        <f>IF('Gr. C'!G21="","",'Gr. C'!G21)</f>
        <v>1</v>
      </c>
    </row>
    <row r="28" spans="1:17" x14ac:dyDescent="0.3">
      <c r="A28" s="39" t="str">
        <f>'Gr. C'!J7</f>
        <v>Lobo</v>
      </c>
      <c r="B28" s="39" t="str">
        <f>'Gr. C'!L7</f>
        <v>Blazej</v>
      </c>
      <c r="C28" s="40">
        <f>IF('Gr. C'!M7="","",'Gr. C'!M7)</f>
        <v>2</v>
      </c>
      <c r="D28" s="40" t="s">
        <v>64</v>
      </c>
      <c r="E28" s="40">
        <f>IF('Gr. C'!O7="","",'Gr. C'!O7)</f>
        <v>0</v>
      </c>
    </row>
    <row r="29" spans="1:17" x14ac:dyDescent="0.3">
      <c r="A29" s="39" t="str">
        <f>'Gr. C'!J8</f>
        <v>Szeszesek</v>
      </c>
      <c r="B29" s="39" t="str">
        <f>'Gr. C'!L8</f>
        <v>Blazej</v>
      </c>
      <c r="C29" s="40">
        <f>IF('Gr. C'!M8="","",'Gr. C'!M8)</f>
        <v>1</v>
      </c>
      <c r="D29" s="40" t="s">
        <v>64</v>
      </c>
      <c r="E29" s="40">
        <f>IF('Gr. C'!O8="","",'Gr. C'!O8)</f>
        <v>3</v>
      </c>
    </row>
    <row r="30" spans="1:17" x14ac:dyDescent="0.3">
      <c r="A30" s="39" t="str">
        <f>'Gr. C'!J9</f>
        <v>xflea</v>
      </c>
      <c r="B30" s="39" t="str">
        <f>'Gr. C'!L9</f>
        <v>Blazej</v>
      </c>
      <c r="C30" s="40">
        <f>IF('Gr. C'!M9="","",'Gr. C'!M9)</f>
        <v>1</v>
      </c>
      <c r="D30" s="40" t="s">
        <v>64</v>
      </c>
      <c r="E30" s="40">
        <f>IF('Gr. C'!O9="","",'Gr. C'!O9)</f>
        <v>3</v>
      </c>
    </row>
    <row r="31" spans="1:17" x14ac:dyDescent="0.3">
      <c r="A31" s="39" t="str">
        <f>'Gr. C'!J10</f>
        <v>Egebjerg Luxus</v>
      </c>
      <c r="B31" s="39" t="str">
        <f>'Gr. C'!L10</f>
        <v>Blazej</v>
      </c>
      <c r="C31" s="40">
        <f>IF('Gr. C'!M10="","",'Gr. C'!M10)</f>
        <v>0</v>
      </c>
      <c r="D31" s="40" t="s">
        <v>64</v>
      </c>
      <c r="E31" s="40">
        <f>IF('Gr. C'!O10="","",'Gr. C'!O10)</f>
        <v>5</v>
      </c>
    </row>
    <row r="32" spans="1:17" x14ac:dyDescent="0.3">
      <c r="A32" s="39" t="str">
        <f>'Gr. C'!J11</f>
        <v>Leoninho</v>
      </c>
      <c r="B32" s="39" t="str">
        <f>'Gr. C'!L11</f>
        <v>Blazej</v>
      </c>
      <c r="C32" s="40">
        <f>IF('Gr. C'!M11="","",'Gr. C'!M11)</f>
        <v>2</v>
      </c>
      <c r="D32" s="40" t="s">
        <v>64</v>
      </c>
      <c r="E32" s="40">
        <f>IF('Gr. C'!O11="","",'Gr. C'!O11)</f>
        <v>3</v>
      </c>
    </row>
    <row r="33" spans="1:5" x14ac:dyDescent="0.3">
      <c r="A33" s="39" t="str">
        <f>'Gr. C'!J12</f>
        <v>Szeszesek</v>
      </c>
      <c r="B33" s="39" t="str">
        <f>'Gr. C'!L12</f>
        <v>Lobo</v>
      </c>
      <c r="C33" s="40">
        <f>IF('Gr. C'!M12="","",'Gr. C'!M12)</f>
        <v>0</v>
      </c>
      <c r="D33" s="40" t="s">
        <v>64</v>
      </c>
      <c r="E33" s="40">
        <f>IF('Gr. C'!O12="","",'Gr. C'!O12)</f>
        <v>1</v>
      </c>
    </row>
    <row r="34" spans="1:5" x14ac:dyDescent="0.3">
      <c r="A34" s="39" t="str">
        <f>'Gr. C'!J13</f>
        <v>xflea</v>
      </c>
      <c r="B34" s="39" t="str">
        <f>'Gr. C'!L13</f>
        <v>Lobo</v>
      </c>
      <c r="C34" s="40">
        <f>IF('Gr. C'!M13="","",'Gr. C'!M13)</f>
        <v>1</v>
      </c>
      <c r="D34" s="40" t="s">
        <v>64</v>
      </c>
      <c r="E34" s="40">
        <f>IF('Gr. C'!O13="","",'Gr. C'!O13)</f>
        <v>6</v>
      </c>
    </row>
    <row r="35" spans="1:5" x14ac:dyDescent="0.3">
      <c r="A35" s="39" t="str">
        <f>'Gr. C'!J14</f>
        <v>Egebjerg Luxus</v>
      </c>
      <c r="B35" s="39" t="str">
        <f>'Gr. C'!L14</f>
        <v>Lobo</v>
      </c>
      <c r="C35" s="40">
        <f>IF('Gr. C'!M14="","",'Gr. C'!M14)</f>
        <v>0</v>
      </c>
      <c r="D35" s="40" t="s">
        <v>64</v>
      </c>
      <c r="E35" s="40">
        <f>IF('Gr. C'!O14="","",'Gr. C'!O14)</f>
        <v>2</v>
      </c>
    </row>
    <row r="36" spans="1:5" x14ac:dyDescent="0.3">
      <c r="A36" s="39" t="str">
        <f>'Gr. C'!J15</f>
        <v>Leoninho</v>
      </c>
      <c r="B36" s="39" t="str">
        <f>'Gr. C'!L15</f>
        <v>Lobo</v>
      </c>
      <c r="C36" s="40">
        <f>IF('Gr. C'!M15="","",'Gr. C'!M15)</f>
        <v>1</v>
      </c>
      <c r="D36" s="40" t="s">
        <v>64</v>
      </c>
      <c r="E36" s="40">
        <f>IF('Gr. C'!O15="","",'Gr. C'!O15)</f>
        <v>5</v>
      </c>
    </row>
    <row r="37" spans="1:5" x14ac:dyDescent="0.3">
      <c r="A37" s="39" t="str">
        <f>'Gr. C'!J16</f>
        <v>xflea</v>
      </c>
      <c r="B37" s="39" t="str">
        <f>'Gr. C'!L16</f>
        <v>Szeszesek</v>
      </c>
      <c r="C37" s="40">
        <f>IF('Gr. C'!M16="","",'Gr. C'!M16)</f>
        <v>2</v>
      </c>
      <c r="D37" s="40" t="s">
        <v>64</v>
      </c>
      <c r="E37" s="40">
        <f>IF('Gr. C'!O16="","",'Gr. C'!O16)</f>
        <v>1</v>
      </c>
    </row>
    <row r="38" spans="1:5" x14ac:dyDescent="0.3">
      <c r="A38" s="39" t="str">
        <f>'Gr. C'!J17</f>
        <v>Egebjerg Luxus</v>
      </c>
      <c r="B38" s="39" t="str">
        <f>'Gr. C'!L17</f>
        <v>Szeszesek</v>
      </c>
      <c r="C38" s="40">
        <f>IF('Gr. C'!M17="","",'Gr. C'!M17)</f>
        <v>2</v>
      </c>
      <c r="D38" s="40" t="s">
        <v>64</v>
      </c>
      <c r="E38" s="40">
        <f>IF('Gr. C'!O17="","",'Gr. C'!O17)</f>
        <v>3</v>
      </c>
    </row>
    <row r="39" spans="1:5" x14ac:dyDescent="0.3">
      <c r="A39" s="39" t="str">
        <f>'Gr. C'!J18</f>
        <v>Leoninho</v>
      </c>
      <c r="B39" s="39" t="str">
        <f>'Gr. C'!L18</f>
        <v>Szeszesek</v>
      </c>
      <c r="C39" s="40">
        <f>IF('Gr. C'!M18="","",'Gr. C'!M18)</f>
        <v>1</v>
      </c>
      <c r="D39" s="40" t="s">
        <v>64</v>
      </c>
      <c r="E39" s="40">
        <f>IF('Gr. C'!O18="","",'Gr. C'!O18)</f>
        <v>0</v>
      </c>
    </row>
    <row r="40" spans="1:5" x14ac:dyDescent="0.3">
      <c r="A40" s="39" t="str">
        <f>'Gr. C'!J19</f>
        <v>Egebjerg Luxus</v>
      </c>
      <c r="B40" s="39" t="str">
        <f>'Gr. C'!L19</f>
        <v>xflea</v>
      </c>
      <c r="C40" s="40">
        <f>IF('Gr. C'!M19="","",'Gr. C'!M19)</f>
        <v>4</v>
      </c>
      <c r="D40" s="40" t="s">
        <v>64</v>
      </c>
      <c r="E40" s="40">
        <f>IF('Gr. C'!O19="","",'Gr. C'!O19)</f>
        <v>1</v>
      </c>
    </row>
    <row r="41" spans="1:5" x14ac:dyDescent="0.3">
      <c r="A41" s="39" t="str">
        <f>'Gr. C'!J20</f>
        <v>Leoninho</v>
      </c>
      <c r="B41" s="39" t="str">
        <f>'Gr. C'!L20</f>
        <v>xflea</v>
      </c>
      <c r="C41" s="40">
        <f>IF('Gr. C'!M20="","",'Gr. C'!M20)</f>
        <v>0</v>
      </c>
      <c r="D41" s="40" t="s">
        <v>64</v>
      </c>
      <c r="E41" s="40">
        <f>IF('Gr. C'!O20="","",'Gr. C'!O20)</f>
        <v>3</v>
      </c>
    </row>
    <row r="42" spans="1:5" x14ac:dyDescent="0.3">
      <c r="A42" s="39" t="str">
        <f>'Gr. C'!J21</f>
        <v>Leoninho</v>
      </c>
      <c r="B42" s="39" t="str">
        <f>'Gr. C'!L21</f>
        <v>Egebjerg Luxus</v>
      </c>
      <c r="C42" s="40">
        <f>IF('Gr. C'!M21="","",'Gr. C'!M21)</f>
        <v>2</v>
      </c>
      <c r="D42" s="40" t="s">
        <v>64</v>
      </c>
      <c r="E42" s="40">
        <f>IF('Gr. C'!O21="","",'Gr. C'!O21)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workbookViewId="0">
      <selection activeCell="A4" sqref="A4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'Gr. D+'!E8</f>
        <v>bobbiebobras</v>
      </c>
      <c r="C2" s="275"/>
      <c r="D2" s="276"/>
      <c r="E2" s="283" t="str">
        <f>IFERROR('Gr. D+'!D2,"-")</f>
        <v>Group D</v>
      </c>
      <c r="F2" s="284"/>
      <c r="G2" s="284"/>
      <c r="H2" s="284"/>
      <c r="I2" s="285"/>
      <c r="J2" s="274" t="str">
        <f>'Gr. D+'!E11</f>
        <v>Klinki</v>
      </c>
      <c r="K2" s="275"/>
      <c r="L2" s="276"/>
    </row>
    <row r="3" spans="1:15" ht="19.5" customHeight="1" thickBot="1" x14ac:dyDescent="0.35">
      <c r="A3" s="6"/>
      <c r="B3" s="274" t="str">
        <f>'Gr. D+'!E9</f>
        <v>Ruhbi</v>
      </c>
      <c r="C3" s="275"/>
      <c r="D3" s="276"/>
      <c r="E3" s="283"/>
      <c r="F3" s="284"/>
      <c r="G3" s="284"/>
      <c r="H3" s="284"/>
      <c r="I3" s="285"/>
      <c r="J3" s="274" t="str">
        <f>'Gr. D+'!E12</f>
        <v>DefenseMutte</v>
      </c>
      <c r="K3" s="275"/>
      <c r="L3" s="276"/>
    </row>
    <row r="4" spans="1:15" ht="19.5" customHeight="1" thickBot="1" x14ac:dyDescent="0.35">
      <c r="A4" s="6"/>
      <c r="B4" s="274" t="str">
        <f>'Gr. D+'!E10</f>
        <v>ElMichaJ</v>
      </c>
      <c r="C4" s="275"/>
      <c r="D4" s="276"/>
      <c r="E4" s="6"/>
      <c r="F4" s="6"/>
      <c r="G4" s="6"/>
      <c r="H4" s="6"/>
      <c r="I4" s="6"/>
      <c r="J4" s="274" t="str">
        <f>'Gr. D+'!E13</f>
        <v>FRK Pawel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215" t="s">
        <v>18</v>
      </c>
      <c r="B6" s="215" t="s">
        <v>15</v>
      </c>
      <c r="C6" s="215"/>
      <c r="D6" s="215" t="s">
        <v>16</v>
      </c>
      <c r="E6" s="273" t="s">
        <v>17</v>
      </c>
      <c r="F6" s="273"/>
      <c r="G6" s="273"/>
      <c r="H6" s="3"/>
      <c r="I6" s="215" t="s">
        <v>18</v>
      </c>
      <c r="J6" s="215" t="s">
        <v>15</v>
      </c>
      <c r="K6" s="215"/>
      <c r="L6" s="215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IFERROR(VLOOKUP('Gr. D+'!C16,'Gr. D+'!$D$8:$E$13,2,0),"-")</f>
        <v>bobbiebobras</v>
      </c>
      <c r="C7" s="5" t="s">
        <v>19</v>
      </c>
      <c r="D7" s="4" t="str">
        <f>IFERROR(VLOOKUP('Gr. D+'!E16,'Gr. D+'!$D$8:$E$13,2,0),"-")</f>
        <v>Ruhbi</v>
      </c>
      <c r="E7" s="4">
        <v>4</v>
      </c>
      <c r="F7" s="5" t="s">
        <v>19</v>
      </c>
      <c r="G7" s="4">
        <v>1</v>
      </c>
      <c r="H7" s="6"/>
      <c r="I7" s="4" t="s">
        <v>20</v>
      </c>
      <c r="J7" s="4" t="str">
        <f>IFERROR(VLOOKUP('Gr. D+'!H16,'Gr. D+'!$D$8:$E$13,2,0),"-")</f>
        <v>Ruhbi</v>
      </c>
      <c r="K7" s="5" t="s">
        <v>19</v>
      </c>
      <c r="L7" s="4" t="str">
        <f>IFERROR(VLOOKUP('Gr. D+'!J16,'Gr. D+'!$D$8:$E$13,2,0),"-")</f>
        <v>bobbiebobras</v>
      </c>
      <c r="M7" s="4">
        <v>0</v>
      </c>
      <c r="N7" s="5" t="s">
        <v>19</v>
      </c>
      <c r="O7" s="4">
        <v>4</v>
      </c>
    </row>
    <row r="8" spans="1:15" s="49" customFormat="1" ht="18" customHeight="1" thickBot="1" x14ac:dyDescent="0.35">
      <c r="A8" s="4" t="s">
        <v>1</v>
      </c>
      <c r="B8" s="4" t="str">
        <f>IFERROR(VLOOKUP('Gr. D+'!C17,'Gr. D+'!$D$8:$E$13,2,0),"-")</f>
        <v>bobbiebobras</v>
      </c>
      <c r="C8" s="5" t="s">
        <v>19</v>
      </c>
      <c r="D8" s="4" t="str">
        <f>IFERROR(VLOOKUP('Gr. D+'!E17,'Gr. D+'!$D$8:$E$13,2,0),"-")</f>
        <v>ElMichaJ</v>
      </c>
      <c r="E8" s="4">
        <v>1</v>
      </c>
      <c r="F8" s="5" t="s">
        <v>19</v>
      </c>
      <c r="G8" s="4">
        <v>4</v>
      </c>
      <c r="H8" s="6"/>
      <c r="I8" s="4" t="s">
        <v>21</v>
      </c>
      <c r="J8" s="4" t="str">
        <f>IFERROR(VLOOKUP('Gr. D+'!H17,'Gr. D+'!$D$8:$E$13,2,0),"-")</f>
        <v>ElMichaJ</v>
      </c>
      <c r="K8" s="5" t="s">
        <v>19</v>
      </c>
      <c r="L8" s="4" t="str">
        <f>IFERROR(VLOOKUP('Gr. D+'!J17,'Gr. D+'!$D$8:$E$13,2,0),"-")</f>
        <v>bobbiebobras</v>
      </c>
      <c r="M8" s="4">
        <v>0</v>
      </c>
      <c r="N8" s="5" t="s">
        <v>19</v>
      </c>
      <c r="O8" s="4">
        <v>4</v>
      </c>
    </row>
    <row r="9" spans="1:15" s="49" customFormat="1" ht="18" customHeight="1" thickBot="1" x14ac:dyDescent="0.35">
      <c r="A9" s="4" t="s">
        <v>2</v>
      </c>
      <c r="B9" s="4" t="str">
        <f>IFERROR(VLOOKUP('Gr. D+'!C18,'Gr. D+'!$D$8:$E$13,2,0),"-")</f>
        <v>bobbiebobras</v>
      </c>
      <c r="C9" s="5" t="s">
        <v>19</v>
      </c>
      <c r="D9" s="4" t="str">
        <f>IFERROR(VLOOKUP('Gr. D+'!E18,'Gr. D+'!$D$8:$E$13,2,0),"-")</f>
        <v>Klinki</v>
      </c>
      <c r="E9" s="4">
        <v>8</v>
      </c>
      <c r="F9" s="5" t="s">
        <v>19</v>
      </c>
      <c r="G9" s="4">
        <v>0</v>
      </c>
      <c r="H9" s="6"/>
      <c r="I9" s="4" t="s">
        <v>22</v>
      </c>
      <c r="J9" s="4" t="str">
        <f>IFERROR(VLOOKUP('Gr. D+'!H18,'Gr. D+'!$D$8:$E$13,2,0),"-")</f>
        <v>Klinki</v>
      </c>
      <c r="K9" s="5" t="s">
        <v>19</v>
      </c>
      <c r="L9" s="4" t="str">
        <f>IFERROR(VLOOKUP('Gr. D+'!J18,'Gr. D+'!$D$8:$E$13,2,0),"-")</f>
        <v>bobbiebobras</v>
      </c>
      <c r="M9" s="4">
        <v>1</v>
      </c>
      <c r="N9" s="5" t="s">
        <v>19</v>
      </c>
      <c r="O9" s="4">
        <v>3</v>
      </c>
    </row>
    <row r="10" spans="1:15" s="49" customFormat="1" ht="18" customHeight="1" thickBot="1" x14ac:dyDescent="0.35">
      <c r="A10" s="4" t="s">
        <v>3</v>
      </c>
      <c r="B10" s="4" t="str">
        <f>IFERROR(VLOOKUP('Gr. D+'!C19,'Gr. D+'!$D$8:$E$13,2,0),"-")</f>
        <v>bobbiebobras</v>
      </c>
      <c r="C10" s="5" t="s">
        <v>19</v>
      </c>
      <c r="D10" s="4" t="str">
        <f>IFERROR(VLOOKUP('Gr. D+'!E19,'Gr. D+'!$D$8:$E$13,2,0),"-")</f>
        <v>DefenseMutte</v>
      </c>
      <c r="E10" s="4">
        <v>2</v>
      </c>
      <c r="F10" s="5" t="s">
        <v>19</v>
      </c>
      <c r="G10" s="4">
        <v>1</v>
      </c>
      <c r="H10" s="6"/>
      <c r="I10" s="4" t="s">
        <v>23</v>
      </c>
      <c r="J10" s="4" t="str">
        <f>IFERROR(VLOOKUP('Gr. D+'!H19,'Gr. D+'!$D$8:$E$13,2,0),"-")</f>
        <v>DefenseMutte</v>
      </c>
      <c r="K10" s="5" t="s">
        <v>19</v>
      </c>
      <c r="L10" s="4" t="str">
        <f>IFERROR(VLOOKUP('Gr. D+'!J19,'Gr. D+'!$D$8:$E$13,2,0),"-")</f>
        <v>bobbiebobras</v>
      </c>
      <c r="M10" s="4">
        <v>0</v>
      </c>
      <c r="N10" s="5" t="s">
        <v>19</v>
      </c>
      <c r="O10" s="4">
        <v>5</v>
      </c>
    </row>
    <row r="11" spans="1:15" s="49" customFormat="1" ht="18" customHeight="1" thickBot="1" x14ac:dyDescent="0.35">
      <c r="A11" s="4" t="s">
        <v>4</v>
      </c>
      <c r="B11" s="4" t="str">
        <f>IFERROR(VLOOKUP('Gr. D+'!C20,'Gr. D+'!$D$8:$E$13,2,0),"-")</f>
        <v>bobbiebobras</v>
      </c>
      <c r="C11" s="5" t="s">
        <v>19</v>
      </c>
      <c r="D11" s="4" t="str">
        <f>IFERROR(VLOOKUP('Gr. D+'!E20,'Gr. D+'!$D$8:$E$13,2,0),"-")</f>
        <v>FRK Pawel</v>
      </c>
      <c r="E11" s="4">
        <v>3</v>
      </c>
      <c r="F11" s="5" t="s">
        <v>19</v>
      </c>
      <c r="G11" s="4">
        <v>0</v>
      </c>
      <c r="H11" s="6"/>
      <c r="I11" s="4" t="s">
        <v>24</v>
      </c>
      <c r="J11" s="4" t="str">
        <f>IFERROR(VLOOKUP('Gr. D+'!H20,'Gr. D+'!$D$8:$E$13,2,0),"-")</f>
        <v>FRK Pawel</v>
      </c>
      <c r="K11" s="5" t="s">
        <v>19</v>
      </c>
      <c r="L11" s="4" t="str">
        <f>IFERROR(VLOOKUP('Gr. D+'!J20,'Gr. D+'!$D$8:$E$13,2,0),"-")</f>
        <v>bobbiebobras</v>
      </c>
      <c r="M11" s="4">
        <v>0</v>
      </c>
      <c r="N11" s="5" t="s">
        <v>19</v>
      </c>
      <c r="O11" s="4">
        <v>3</v>
      </c>
    </row>
    <row r="12" spans="1:15" s="49" customFormat="1" ht="18" customHeight="1" thickBot="1" x14ac:dyDescent="0.35">
      <c r="A12" s="4" t="s">
        <v>5</v>
      </c>
      <c r="B12" s="4" t="str">
        <f>IFERROR(VLOOKUP('Gr. D+'!C21,'Gr. D+'!$D$8:$E$13,2,0),"-")</f>
        <v>Ruhbi</v>
      </c>
      <c r="C12" s="5" t="s">
        <v>19</v>
      </c>
      <c r="D12" s="4" t="str">
        <f>IFERROR(VLOOKUP('Gr. D+'!E21,'Gr. D+'!$D$8:$E$13,2,0),"-")</f>
        <v>ElMichaJ</v>
      </c>
      <c r="E12" s="4">
        <v>0</v>
      </c>
      <c r="F12" s="5" t="s">
        <v>19</v>
      </c>
      <c r="G12" s="4">
        <v>1</v>
      </c>
      <c r="H12" s="6"/>
      <c r="I12" s="4" t="s">
        <v>25</v>
      </c>
      <c r="J12" s="4" t="str">
        <f>IFERROR(VLOOKUP('Gr. D+'!H21,'Gr. D+'!$D$8:$E$13,2,0),"-")</f>
        <v>ElMichaJ</v>
      </c>
      <c r="K12" s="5" t="s">
        <v>19</v>
      </c>
      <c r="L12" s="4" t="str">
        <f>IFERROR(VLOOKUP('Gr. D+'!J21,'Gr. D+'!$D$8:$E$13,2,0),"-")</f>
        <v>Ruhbi</v>
      </c>
      <c r="M12" s="4">
        <v>4</v>
      </c>
      <c r="N12" s="5" t="s">
        <v>19</v>
      </c>
      <c r="O12" s="4">
        <v>1</v>
      </c>
    </row>
    <row r="13" spans="1:15" s="49" customFormat="1" ht="18" customHeight="1" thickBot="1" x14ac:dyDescent="0.35">
      <c r="A13" s="4" t="s">
        <v>6</v>
      </c>
      <c r="B13" s="4" t="str">
        <f>IFERROR(VLOOKUP('Gr. D+'!C22,'Gr. D+'!$D$8:$E$13,2,0),"-")</f>
        <v>Ruhbi</v>
      </c>
      <c r="C13" s="5" t="s">
        <v>19</v>
      </c>
      <c r="D13" s="4" t="str">
        <f>IFERROR(VLOOKUP('Gr. D+'!E22,'Gr. D+'!$D$8:$E$13,2,0),"-")</f>
        <v>Klinki</v>
      </c>
      <c r="E13" s="4">
        <v>0</v>
      </c>
      <c r="F13" s="5" t="s">
        <v>19</v>
      </c>
      <c r="G13" s="4">
        <v>1</v>
      </c>
      <c r="H13" s="6"/>
      <c r="I13" s="4" t="s">
        <v>26</v>
      </c>
      <c r="J13" s="4" t="str">
        <f>IFERROR(VLOOKUP('Gr. D+'!H22,'Gr. D+'!$D$8:$E$13,2,0),"-")</f>
        <v>Klinki</v>
      </c>
      <c r="K13" s="5" t="s">
        <v>19</v>
      </c>
      <c r="L13" s="4" t="str">
        <f>IFERROR(VLOOKUP('Gr. D+'!J22,'Gr. D+'!$D$8:$E$13,2,0),"-")</f>
        <v>Ruhbi</v>
      </c>
      <c r="M13" s="4">
        <v>1</v>
      </c>
      <c r="N13" s="5" t="s">
        <v>19</v>
      </c>
      <c r="O13" s="4">
        <v>5</v>
      </c>
    </row>
    <row r="14" spans="1:15" s="49" customFormat="1" ht="18" customHeight="1" thickBot="1" x14ac:dyDescent="0.35">
      <c r="A14" s="4" t="s">
        <v>7</v>
      </c>
      <c r="B14" s="4" t="str">
        <f>IFERROR(VLOOKUP('Gr. D+'!C23,'Gr. D+'!$D$8:$E$13,2,0),"-")</f>
        <v>Ruhbi</v>
      </c>
      <c r="C14" s="5" t="s">
        <v>19</v>
      </c>
      <c r="D14" s="4" t="str">
        <f>IFERROR(VLOOKUP('Gr. D+'!E23,'Gr. D+'!$D$8:$E$13,2,0),"-")</f>
        <v>DefenseMutte</v>
      </c>
      <c r="E14" s="4">
        <v>3</v>
      </c>
      <c r="F14" s="5" t="s">
        <v>19</v>
      </c>
      <c r="G14" s="4">
        <v>0</v>
      </c>
      <c r="H14" s="6"/>
      <c r="I14" s="4" t="s">
        <v>27</v>
      </c>
      <c r="J14" s="4" t="str">
        <f>IFERROR(VLOOKUP('Gr. D+'!H23,'Gr. D+'!$D$8:$E$13,2,0),"-")</f>
        <v>DefenseMutte</v>
      </c>
      <c r="K14" s="5" t="s">
        <v>19</v>
      </c>
      <c r="L14" s="4" t="str">
        <f>IFERROR(VLOOKUP('Gr. D+'!J23,'Gr. D+'!$D$8:$E$13,2,0),"-")</f>
        <v>Ruhbi</v>
      </c>
      <c r="M14" s="4">
        <v>0</v>
      </c>
      <c r="N14" s="5" t="s">
        <v>19</v>
      </c>
      <c r="O14" s="4">
        <v>3</v>
      </c>
    </row>
    <row r="15" spans="1:15" s="49" customFormat="1" ht="18" customHeight="1" thickBot="1" x14ac:dyDescent="0.35">
      <c r="A15" s="4" t="s">
        <v>8</v>
      </c>
      <c r="B15" s="4" t="str">
        <f>IFERROR(VLOOKUP('Gr. D+'!C24,'Gr. D+'!$D$8:$E$13,2,0),"-")</f>
        <v>Ruhbi</v>
      </c>
      <c r="C15" s="5" t="s">
        <v>19</v>
      </c>
      <c r="D15" s="4" t="str">
        <f>IFERROR(VLOOKUP('Gr. D+'!E24,'Gr. D+'!$D$8:$E$13,2,0),"-")</f>
        <v>FRK Pawel</v>
      </c>
      <c r="E15" s="4">
        <v>1</v>
      </c>
      <c r="F15" s="5" t="s">
        <v>19</v>
      </c>
      <c r="G15" s="4">
        <v>0</v>
      </c>
      <c r="H15" s="6"/>
      <c r="I15" s="4" t="s">
        <v>28</v>
      </c>
      <c r="J15" s="4" t="str">
        <f>IFERROR(VLOOKUP('Gr. D+'!H24,'Gr. D+'!$D$8:$E$13,2,0),"-")</f>
        <v>FRK Pawel</v>
      </c>
      <c r="K15" s="5" t="s">
        <v>19</v>
      </c>
      <c r="L15" s="4" t="str">
        <f>IFERROR(VLOOKUP('Gr. D+'!J24,'Gr. D+'!$D$8:$E$13,2,0),"-")</f>
        <v>Ruhbi</v>
      </c>
      <c r="M15" s="4">
        <v>3</v>
      </c>
      <c r="N15" s="5" t="s">
        <v>19</v>
      </c>
      <c r="O15" s="4">
        <v>1</v>
      </c>
    </row>
    <row r="16" spans="1:15" s="49" customFormat="1" ht="18" customHeight="1" thickBot="1" x14ac:dyDescent="0.35">
      <c r="A16" s="4" t="s">
        <v>9</v>
      </c>
      <c r="B16" s="4" t="str">
        <f>IFERROR(VLOOKUP('Gr. D+'!C25,'Gr. D+'!$D$8:$E$13,2,0),"-")</f>
        <v>ElMichaJ</v>
      </c>
      <c r="C16" s="5" t="s">
        <v>19</v>
      </c>
      <c r="D16" s="4" t="str">
        <f>IFERROR(VLOOKUP('Gr. D+'!E25,'Gr. D+'!$D$8:$E$13,2,0),"-")</f>
        <v>Klinki</v>
      </c>
      <c r="E16" s="4">
        <v>0</v>
      </c>
      <c r="F16" s="5" t="s">
        <v>19</v>
      </c>
      <c r="G16" s="4">
        <v>1</v>
      </c>
      <c r="H16" s="6"/>
      <c r="I16" s="4" t="s">
        <v>29</v>
      </c>
      <c r="J16" s="4" t="str">
        <f>IFERROR(VLOOKUP('Gr. D+'!H25,'Gr. D+'!$D$8:$E$13,2,0),"-")</f>
        <v>Klinki</v>
      </c>
      <c r="K16" s="5" t="s">
        <v>19</v>
      </c>
      <c r="L16" s="4" t="str">
        <f>IFERROR(VLOOKUP('Gr. D+'!J25,'Gr. D+'!$D$8:$E$13,2,0),"-")</f>
        <v>ElMichaJ</v>
      </c>
      <c r="M16" s="4">
        <v>1</v>
      </c>
      <c r="N16" s="5" t="s">
        <v>19</v>
      </c>
      <c r="O16" s="4">
        <v>3</v>
      </c>
    </row>
    <row r="17" spans="1:15" s="49" customFormat="1" ht="18" customHeight="1" thickBot="1" x14ac:dyDescent="0.35">
      <c r="A17" s="4" t="s">
        <v>10</v>
      </c>
      <c r="B17" s="4" t="str">
        <f>IFERROR(VLOOKUP('Gr. D+'!C26,'Gr. D+'!$D$8:$E$13,2,0),"-")</f>
        <v>ElMichaJ</v>
      </c>
      <c r="C17" s="5" t="s">
        <v>19</v>
      </c>
      <c r="D17" s="4" t="str">
        <f>IFERROR(VLOOKUP('Gr. D+'!E26,'Gr. D+'!$D$8:$E$13,2,0),"-")</f>
        <v>DefenseMutte</v>
      </c>
      <c r="E17" s="4">
        <v>7</v>
      </c>
      <c r="F17" s="5" t="s">
        <v>19</v>
      </c>
      <c r="G17" s="4">
        <v>0</v>
      </c>
      <c r="H17" s="6"/>
      <c r="I17" s="4" t="s">
        <v>30</v>
      </c>
      <c r="J17" s="4" t="str">
        <f>IFERROR(VLOOKUP('Gr. D+'!H26,'Gr. D+'!$D$8:$E$13,2,0),"-")</f>
        <v>DefenseMutte</v>
      </c>
      <c r="K17" s="5" t="s">
        <v>19</v>
      </c>
      <c r="L17" s="4" t="str">
        <f>IFERROR(VLOOKUP('Gr. D+'!J26,'Gr. D+'!$D$8:$E$13,2,0),"-")</f>
        <v>ElMichaJ</v>
      </c>
      <c r="M17" s="4">
        <v>0</v>
      </c>
      <c r="N17" s="5" t="s">
        <v>19</v>
      </c>
      <c r="O17" s="4">
        <v>4</v>
      </c>
    </row>
    <row r="18" spans="1:15" s="49" customFormat="1" ht="18" customHeight="1" thickBot="1" x14ac:dyDescent="0.35">
      <c r="A18" s="4" t="s">
        <v>11</v>
      </c>
      <c r="B18" s="4" t="str">
        <f>IFERROR(VLOOKUP('Gr. D+'!C27,'Gr. D+'!$D$8:$E$13,2,0),"-")</f>
        <v>ElMichaJ</v>
      </c>
      <c r="C18" s="5" t="s">
        <v>19</v>
      </c>
      <c r="D18" s="4" t="str">
        <f>IFERROR(VLOOKUP('Gr. D+'!E27,'Gr. D+'!$D$8:$E$13,2,0),"-")</f>
        <v>FRK Pawel</v>
      </c>
      <c r="E18" s="4">
        <v>5</v>
      </c>
      <c r="F18" s="5" t="s">
        <v>19</v>
      </c>
      <c r="G18" s="4">
        <v>0</v>
      </c>
      <c r="H18" s="6"/>
      <c r="I18" s="4" t="s">
        <v>31</v>
      </c>
      <c r="J18" s="4" t="str">
        <f>IFERROR(VLOOKUP('Gr. D+'!H27,'Gr. D+'!$D$8:$E$13,2,0),"-")</f>
        <v>FRK Pawel</v>
      </c>
      <c r="K18" s="5" t="s">
        <v>19</v>
      </c>
      <c r="L18" s="4" t="str">
        <f>IFERROR(VLOOKUP('Gr. D+'!J27,'Gr. D+'!$D$8:$E$13,2,0),"-")</f>
        <v>ElMichaJ</v>
      </c>
      <c r="M18" s="4">
        <v>0</v>
      </c>
      <c r="N18" s="5" t="s">
        <v>19</v>
      </c>
      <c r="O18" s="4">
        <v>4</v>
      </c>
    </row>
    <row r="19" spans="1:15" s="49" customFormat="1" ht="18" customHeight="1" thickBot="1" x14ac:dyDescent="0.35">
      <c r="A19" s="4" t="s">
        <v>12</v>
      </c>
      <c r="B19" s="4" t="str">
        <f>IFERROR(VLOOKUP('Gr. D+'!C28,'Gr. D+'!$D$8:$E$13,2,0),"-")</f>
        <v>Klinki</v>
      </c>
      <c r="C19" s="5" t="s">
        <v>19</v>
      </c>
      <c r="D19" s="4" t="str">
        <f>IFERROR(VLOOKUP('Gr. D+'!E28,'Gr. D+'!$D$8:$E$13,2,0),"-")</f>
        <v>DefenseMutte</v>
      </c>
      <c r="E19" s="4">
        <v>2</v>
      </c>
      <c r="F19" s="5" t="s">
        <v>19</v>
      </c>
      <c r="G19" s="4">
        <v>1</v>
      </c>
      <c r="H19" s="6"/>
      <c r="I19" s="4" t="s">
        <v>32</v>
      </c>
      <c r="J19" s="4" t="str">
        <f>IFERROR(VLOOKUP('Gr. D+'!H28,'Gr. D+'!$D$8:$E$13,2,0),"-")</f>
        <v>DefenseMutte</v>
      </c>
      <c r="K19" s="5" t="s">
        <v>19</v>
      </c>
      <c r="L19" s="4" t="str">
        <f>IFERROR(VLOOKUP('Gr. D+'!J28,'Gr. D+'!$D$8:$E$13,2,0),"-")</f>
        <v>Klinki</v>
      </c>
      <c r="M19" s="4">
        <v>1</v>
      </c>
      <c r="N19" s="5" t="s">
        <v>19</v>
      </c>
      <c r="O19" s="4">
        <v>2</v>
      </c>
    </row>
    <row r="20" spans="1:15" s="49" customFormat="1" ht="18" customHeight="1" thickBot="1" x14ac:dyDescent="0.35">
      <c r="A20" s="4" t="s">
        <v>13</v>
      </c>
      <c r="B20" s="4" t="str">
        <f>IFERROR(VLOOKUP('Gr. D+'!C29,'Gr. D+'!$D$8:$E$13,2,0),"-")</f>
        <v>Klinki</v>
      </c>
      <c r="C20" s="5" t="s">
        <v>19</v>
      </c>
      <c r="D20" s="4" t="str">
        <f>IFERROR(VLOOKUP('Gr. D+'!E29,'Gr. D+'!$D$8:$E$13,2,0),"-")</f>
        <v>FRK Pawel</v>
      </c>
      <c r="E20" s="4">
        <v>0</v>
      </c>
      <c r="F20" s="5" t="s">
        <v>19</v>
      </c>
      <c r="G20" s="4">
        <v>0</v>
      </c>
      <c r="H20" s="6"/>
      <c r="I20" s="4" t="s">
        <v>33</v>
      </c>
      <c r="J20" s="4" t="str">
        <f>IFERROR(VLOOKUP('Gr. D+'!H29,'Gr. D+'!$D$8:$E$13,2,0),"-")</f>
        <v>FRK Pawel</v>
      </c>
      <c r="K20" s="5" t="s">
        <v>19</v>
      </c>
      <c r="L20" s="4" t="str">
        <f>IFERROR(VLOOKUP('Gr. D+'!J29,'Gr. D+'!$D$8:$E$13,2,0),"-")</f>
        <v>Klinki</v>
      </c>
      <c r="M20" s="4">
        <v>3</v>
      </c>
      <c r="N20" s="5" t="s">
        <v>19</v>
      </c>
      <c r="O20" s="4">
        <v>3</v>
      </c>
    </row>
    <row r="21" spans="1:15" s="49" customFormat="1" ht="18" customHeight="1" thickBot="1" x14ac:dyDescent="0.35">
      <c r="A21" s="4" t="s">
        <v>14</v>
      </c>
      <c r="B21" s="4" t="str">
        <f>IFERROR(VLOOKUP('Gr. D+'!C30,'Gr. D+'!$D$8:$E$13,2,0),"-")</f>
        <v>DefenseMutte</v>
      </c>
      <c r="C21" s="5" t="s">
        <v>19</v>
      </c>
      <c r="D21" s="4" t="str">
        <f>IFERROR(VLOOKUP('Gr. D+'!E30,'Gr. D+'!$D$8:$E$13,2,0),"-")</f>
        <v>FRK Pawel</v>
      </c>
      <c r="E21" s="4">
        <v>1</v>
      </c>
      <c r="F21" s="5" t="s">
        <v>19</v>
      </c>
      <c r="G21" s="4">
        <v>2</v>
      </c>
      <c r="H21" s="6"/>
      <c r="I21" s="4" t="s">
        <v>34</v>
      </c>
      <c r="J21" s="4" t="str">
        <f>IFERROR(VLOOKUP('Gr. D+'!H30,'Gr. D+'!$D$8:$E$13,2,0),"-")</f>
        <v>FRK Pawel</v>
      </c>
      <c r="K21" s="5" t="s">
        <v>19</v>
      </c>
      <c r="L21" s="4" t="str">
        <f>IFERROR(VLOOKUP('Gr. D+'!J30,'Gr. D+'!$D$8:$E$13,2,0),"-")</f>
        <v>DefenseMutte</v>
      </c>
      <c r="M21" s="4">
        <v>3</v>
      </c>
      <c r="N21" s="5" t="s">
        <v>19</v>
      </c>
      <c r="O21" s="4">
        <v>0</v>
      </c>
    </row>
  </sheetData>
  <mergeCells count="11">
    <mergeCell ref="B4:D4"/>
    <mergeCell ref="J4:L4"/>
    <mergeCell ref="E6:G6"/>
    <mergeCell ref="M6:O6"/>
    <mergeCell ref="B1:D1"/>
    <mergeCell ref="J1:L1"/>
    <mergeCell ref="B2:D2"/>
    <mergeCell ref="E2:I3"/>
    <mergeCell ref="J2:L2"/>
    <mergeCell ref="B3:D3"/>
    <mergeCell ref="J3:L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workbookViewId="0">
      <selection activeCell="A4" sqref="A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77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">
        <v>131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">
        <v>132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">
        <v>133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">
        <v>134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">
        <v>135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">
        <v>136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215" t="s">
        <v>18</v>
      </c>
      <c r="C15" s="215" t="s">
        <v>15</v>
      </c>
      <c r="D15" s="215"/>
      <c r="E15" s="215" t="s">
        <v>16</v>
      </c>
      <c r="F15" s="3"/>
      <c r="G15" s="215" t="s">
        <v>18</v>
      </c>
      <c r="H15" s="215" t="s">
        <v>15</v>
      </c>
      <c r="I15" s="215"/>
      <c r="J15" s="215" t="s">
        <v>16</v>
      </c>
    </row>
    <row r="16" spans="2:10" ht="16.2" thickBot="1" x14ac:dyDescent="0.35">
      <c r="B16" s="4" t="s">
        <v>0</v>
      </c>
      <c r="C16" s="4">
        <v>1</v>
      </c>
      <c r="D16" s="5" t="s">
        <v>19</v>
      </c>
      <c r="E16" s="4">
        <v>2</v>
      </c>
      <c r="F16" s="6"/>
      <c r="G16" s="4" t="s">
        <v>20</v>
      </c>
      <c r="H16" s="4">
        <v>2</v>
      </c>
      <c r="I16" s="5" t="s">
        <v>19</v>
      </c>
      <c r="J16" s="4">
        <v>1</v>
      </c>
    </row>
    <row r="17" spans="2:10" ht="16.2" thickBot="1" x14ac:dyDescent="0.35">
      <c r="B17" s="4" t="s">
        <v>1</v>
      </c>
      <c r="C17" s="4">
        <v>1</v>
      </c>
      <c r="D17" s="5" t="s">
        <v>19</v>
      </c>
      <c r="E17" s="4">
        <v>3</v>
      </c>
      <c r="F17" s="6"/>
      <c r="G17" s="4" t="s">
        <v>21</v>
      </c>
      <c r="H17" s="4">
        <v>3</v>
      </c>
      <c r="I17" s="5" t="s">
        <v>19</v>
      </c>
      <c r="J17" s="4">
        <v>1</v>
      </c>
    </row>
    <row r="18" spans="2:10" ht="16.2" thickBot="1" x14ac:dyDescent="0.35">
      <c r="B18" s="4" t="s">
        <v>2</v>
      </c>
      <c r="C18" s="4">
        <v>1</v>
      </c>
      <c r="D18" s="5" t="s">
        <v>19</v>
      </c>
      <c r="E18" s="4">
        <v>4</v>
      </c>
      <c r="F18" s="6"/>
      <c r="G18" s="4" t="s">
        <v>22</v>
      </c>
      <c r="H18" s="4">
        <v>4</v>
      </c>
      <c r="I18" s="5" t="s">
        <v>19</v>
      </c>
      <c r="J18" s="4">
        <v>1</v>
      </c>
    </row>
    <row r="19" spans="2:10" ht="16.2" thickBot="1" x14ac:dyDescent="0.35">
      <c r="B19" s="4" t="s">
        <v>3</v>
      </c>
      <c r="C19" s="4">
        <v>1</v>
      </c>
      <c r="D19" s="5" t="s">
        <v>19</v>
      </c>
      <c r="E19" s="4">
        <v>5</v>
      </c>
      <c r="F19" s="6"/>
      <c r="G19" s="4" t="s">
        <v>23</v>
      </c>
      <c r="H19" s="4">
        <v>5</v>
      </c>
      <c r="I19" s="5" t="s">
        <v>19</v>
      </c>
      <c r="J19" s="4">
        <v>1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6</v>
      </c>
      <c r="F20" s="6"/>
      <c r="G20" s="4" t="s">
        <v>24</v>
      </c>
      <c r="H20" s="4">
        <v>6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2</v>
      </c>
      <c r="D21" s="5" t="s">
        <v>19</v>
      </c>
      <c r="E21" s="4">
        <v>3</v>
      </c>
      <c r="F21" s="6"/>
      <c r="G21" s="4" t="s">
        <v>25</v>
      </c>
      <c r="H21" s="4">
        <v>3</v>
      </c>
      <c r="I21" s="5" t="s">
        <v>19</v>
      </c>
      <c r="J21" s="4">
        <v>2</v>
      </c>
    </row>
    <row r="22" spans="2:10" ht="16.2" thickBot="1" x14ac:dyDescent="0.35">
      <c r="B22" s="4" t="s">
        <v>6</v>
      </c>
      <c r="C22" s="4">
        <v>2</v>
      </c>
      <c r="D22" s="5" t="s">
        <v>19</v>
      </c>
      <c r="E22" s="4">
        <v>4</v>
      </c>
      <c r="F22" s="6"/>
      <c r="G22" s="4" t="s">
        <v>26</v>
      </c>
      <c r="H22" s="4">
        <v>4</v>
      </c>
      <c r="I22" s="5" t="s">
        <v>19</v>
      </c>
      <c r="J22" s="4">
        <v>2</v>
      </c>
    </row>
    <row r="23" spans="2:10" ht="16.2" thickBot="1" x14ac:dyDescent="0.35">
      <c r="B23" s="4" t="s">
        <v>7</v>
      </c>
      <c r="C23" s="4">
        <v>2</v>
      </c>
      <c r="D23" s="5" t="s">
        <v>19</v>
      </c>
      <c r="E23" s="4">
        <v>5</v>
      </c>
      <c r="F23" s="6"/>
      <c r="G23" s="4" t="s">
        <v>27</v>
      </c>
      <c r="H23" s="4">
        <v>5</v>
      </c>
      <c r="I23" s="5" t="s">
        <v>19</v>
      </c>
      <c r="J23" s="4">
        <v>2</v>
      </c>
    </row>
    <row r="24" spans="2:10" ht="16.2" thickBot="1" x14ac:dyDescent="0.35">
      <c r="B24" s="4" t="s">
        <v>8</v>
      </c>
      <c r="C24" s="4">
        <v>2</v>
      </c>
      <c r="D24" s="5" t="s">
        <v>19</v>
      </c>
      <c r="E24" s="4">
        <v>6</v>
      </c>
      <c r="F24" s="6"/>
      <c r="G24" s="4" t="s">
        <v>28</v>
      </c>
      <c r="H24" s="4">
        <v>6</v>
      </c>
      <c r="I24" s="5" t="s">
        <v>19</v>
      </c>
      <c r="J24" s="4">
        <v>2</v>
      </c>
    </row>
    <row r="25" spans="2:10" ht="16.2" thickBot="1" x14ac:dyDescent="0.35">
      <c r="B25" s="4" t="s">
        <v>9</v>
      </c>
      <c r="C25" s="4">
        <v>3</v>
      </c>
      <c r="D25" s="5" t="s">
        <v>19</v>
      </c>
      <c r="E25" s="4">
        <v>4</v>
      </c>
      <c r="F25" s="6"/>
      <c r="G25" s="4" t="s">
        <v>29</v>
      </c>
      <c r="H25" s="4">
        <v>4</v>
      </c>
      <c r="I25" s="5" t="s">
        <v>19</v>
      </c>
      <c r="J25" s="4">
        <v>3</v>
      </c>
    </row>
    <row r="26" spans="2:10" ht="16.2" thickBot="1" x14ac:dyDescent="0.35">
      <c r="B26" s="4" t="s">
        <v>10</v>
      </c>
      <c r="C26" s="4">
        <v>3</v>
      </c>
      <c r="D26" s="5" t="s">
        <v>19</v>
      </c>
      <c r="E26" s="4">
        <v>5</v>
      </c>
      <c r="F26" s="6"/>
      <c r="G26" s="4" t="s">
        <v>30</v>
      </c>
      <c r="H26" s="4">
        <v>5</v>
      </c>
      <c r="I26" s="5" t="s">
        <v>19</v>
      </c>
      <c r="J26" s="4">
        <v>3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6</v>
      </c>
      <c r="F27" s="6"/>
      <c r="G27" s="4" t="s">
        <v>31</v>
      </c>
      <c r="H27" s="4">
        <v>6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4</v>
      </c>
      <c r="D28" s="5" t="s">
        <v>19</v>
      </c>
      <c r="E28" s="4">
        <v>5</v>
      </c>
      <c r="F28" s="6"/>
      <c r="G28" s="4" t="s">
        <v>32</v>
      </c>
      <c r="H28" s="4">
        <v>5</v>
      </c>
      <c r="I28" s="5" t="s">
        <v>19</v>
      </c>
      <c r="J28" s="4">
        <v>4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6</v>
      </c>
      <c r="F29" s="6"/>
      <c r="G29" s="4" t="s">
        <v>33</v>
      </c>
      <c r="H29" s="4">
        <v>6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5</v>
      </c>
      <c r="D30" s="5" t="s">
        <v>19</v>
      </c>
      <c r="E30" s="4">
        <v>6</v>
      </c>
      <c r="F30" s="6"/>
      <c r="G30" s="4" t="s">
        <v>34</v>
      </c>
      <c r="H30" s="4">
        <v>6</v>
      </c>
      <c r="I30" s="5" t="s">
        <v>19</v>
      </c>
      <c r="J30" s="4">
        <v>5</v>
      </c>
    </row>
  </sheetData>
  <mergeCells count="8">
    <mergeCell ref="E12:H12"/>
    <mergeCell ref="E13:H13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/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'Gr. D+'!D2</f>
        <v>Group D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bobbiebobras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9</v>
      </c>
      <c r="V3" s="21">
        <f t="array" ref="V3">SUM((home=S3)*(homescore=visitorscore)*ISNUMBER(visitorscore),(visitor=S3)*(visitorscore=homescore)*ISNUMBER(homescore))</f>
        <v>0</v>
      </c>
      <c r="W3" s="21">
        <f t="array" ref="W3">SUM((home=S3)*(homescore&lt;visitorscore),(visitor=S3)*(visitorscore&lt;homescore))</f>
        <v>1</v>
      </c>
      <c r="X3" s="32">
        <f t="shared" ref="X3" si="1">SUMIF(home,S3,homescore)+SUMIF(visitor,S3,visitorscore)</f>
        <v>37</v>
      </c>
      <c r="Y3" s="33">
        <f t="shared" ref="Y3" si="2">SUMIF(home,S3,visitorscore)+SUMIF(visitor,S3,homescore)</f>
        <v>7</v>
      </c>
      <c r="Z3" s="34">
        <f>X3-Y3</f>
        <v>30</v>
      </c>
      <c r="AA3" s="32">
        <f>U3*3+V3</f>
        <v>27</v>
      </c>
      <c r="AB3" s="20">
        <f>X3+Z3*10000+AA3*1000000000</f>
        <v>27000300037</v>
      </c>
    </row>
    <row r="4" spans="1:28" x14ac:dyDescent="0.3">
      <c r="A4" s="35" t="str">
        <f>'Gr. D+'!E8</f>
        <v>bobbiebobras</v>
      </c>
      <c r="B4" s="19"/>
      <c r="C4" s="19"/>
      <c r="S4" s="36" t="str">
        <f t="shared" si="0"/>
        <v>Ruhbi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4</v>
      </c>
      <c r="V4" s="21">
        <f t="array" ref="V4">SUM((home=S4)*(homescore=visitorscore)*ISNUMBER(visitorscore),(visitor=S4)*(visitorscore=homescore)*ISNUMBER(homescore))</f>
        <v>0</v>
      </c>
      <c r="W4" s="21">
        <f t="array" ref="W4">SUM((home=S4)*(homescore&lt;visitorscore),(visitor=S4)*(visitorscore&lt;homescore))</f>
        <v>6</v>
      </c>
      <c r="X4" s="32">
        <f t="shared" ref="X4" si="3">SUMIF(home,S4,homescore)+SUMIF(visitor,S4,visitorscore)</f>
        <v>15</v>
      </c>
      <c r="Y4" s="33">
        <f t="shared" ref="Y4" si="4">SUMIF(home,S4,visitorscore)+SUMIF(visitor,S4,homescore)</f>
        <v>18</v>
      </c>
      <c r="Z4" s="34">
        <f t="shared" ref="Z4:Z8" si="5">X4-Y4</f>
        <v>-3</v>
      </c>
      <c r="AA4" s="32">
        <f t="shared" ref="AA4:AA8" si="6">U4*3+V4</f>
        <v>12</v>
      </c>
      <c r="AB4" s="20">
        <f t="shared" ref="AB4:AB8" si="7">X4+Z4*10000+AA4*1000000000</f>
        <v>11999970015</v>
      </c>
    </row>
    <row r="5" spans="1:28" x14ac:dyDescent="0.3">
      <c r="A5" s="35" t="str">
        <f>'Gr. D+'!E9</f>
        <v>Ruhbi</v>
      </c>
      <c r="B5" s="19"/>
      <c r="C5" s="19"/>
      <c r="S5" s="36" t="str">
        <f t="shared" si="0"/>
        <v>ElMichaJ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8</v>
      </c>
      <c r="V5" s="21">
        <f t="array" ref="V5">SUM((home=S5)*(homescore=visitorscore)*ISNUMBER(visitorscore),(visitor=S5)*(visitorscore=homescore)*ISNUMBER(homescore))</f>
        <v>0</v>
      </c>
      <c r="W5" s="21">
        <f t="array" ref="W5">SUM((home=S5)*(homescore&lt;visitorscore),(visitor=S5)*(visitorscore&lt;homescore))</f>
        <v>2</v>
      </c>
      <c r="X5" s="32">
        <f t="shared" ref="X5" si="8">SUMIF(home,S5,homescore)+SUMIF(visitor,S5,visitorscore)</f>
        <v>32</v>
      </c>
      <c r="Y5" s="33">
        <f t="shared" ref="Y5" si="9">SUMIF(home,S5,visitorscore)+SUMIF(visitor,S5,homescore)</f>
        <v>8</v>
      </c>
      <c r="Z5" s="34">
        <f t="shared" si="5"/>
        <v>24</v>
      </c>
      <c r="AA5" s="32">
        <f t="shared" si="6"/>
        <v>24</v>
      </c>
      <c r="AB5" s="20">
        <f t="shared" si="7"/>
        <v>24000240032</v>
      </c>
    </row>
    <row r="6" spans="1:28" x14ac:dyDescent="0.3">
      <c r="A6" s="35" t="str">
        <f>'Gr. D+'!E10</f>
        <v>ElMichaJ</v>
      </c>
      <c r="B6" s="19"/>
      <c r="C6" s="19"/>
      <c r="S6" s="36" t="str">
        <f t="shared" si="0"/>
        <v>Klinki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4</v>
      </c>
      <c r="V6" s="21">
        <f t="array" ref="V6">SUM((home=S6)*(homescore=visitorscore)*ISNUMBER(visitorscore),(visitor=S6)*(visitorscore=homescore)*ISNUMBER(homescore))</f>
        <v>2</v>
      </c>
      <c r="W6" s="21">
        <f t="array" ref="W6">SUM((home=S6)*(homescore&lt;visitorscore),(visitor=S6)*(visitorscore&lt;homescore))</f>
        <v>4</v>
      </c>
      <c r="X6" s="32">
        <f t="shared" ref="X6" si="10">SUMIF(home,S6,homescore)+SUMIF(visitor,S6,visitorscore)</f>
        <v>12</v>
      </c>
      <c r="Y6" s="33">
        <f t="shared" ref="Y6" si="11">SUMIF(home,S6,visitorscore)+SUMIF(visitor,S6,homescore)</f>
        <v>24</v>
      </c>
      <c r="Z6" s="34">
        <f t="shared" si="5"/>
        <v>-12</v>
      </c>
      <c r="AA6" s="32">
        <f t="shared" si="6"/>
        <v>14</v>
      </c>
      <c r="AB6" s="20">
        <f t="shared" si="7"/>
        <v>13999880012</v>
      </c>
    </row>
    <row r="7" spans="1:28" x14ac:dyDescent="0.3">
      <c r="A7" s="35" t="str">
        <f>'Gr. D+'!E11</f>
        <v>Klinki</v>
      </c>
      <c r="B7" s="19"/>
      <c r="C7" s="19"/>
      <c r="S7" s="37" t="str">
        <f t="shared" si="0"/>
        <v>DefenseMutte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0</v>
      </c>
      <c r="V7" s="21">
        <f t="array" ref="V7">SUM((home=S7)*(homescore=visitorscore)*ISNUMBER(visitorscore),(visitor=S7)*(visitorscore=homescore)*ISNUMBER(homescore))</f>
        <v>0</v>
      </c>
      <c r="W7" s="21">
        <f t="array" ref="W7">SUM((home=S7)*(homescore&lt;visitorscore),(visitor=S7)*(visitorscore&lt;homescore))</f>
        <v>10</v>
      </c>
      <c r="X7" s="32">
        <f t="shared" ref="X7" si="12">SUMIF(home,S7,homescore)+SUMIF(visitor,S7,visitorscore)</f>
        <v>4</v>
      </c>
      <c r="Y7" s="33">
        <f t="shared" ref="Y7" si="13">SUMIF(home,S7,visitorscore)+SUMIF(visitor,S7,homescore)</f>
        <v>33</v>
      </c>
      <c r="Z7" s="34">
        <f t="shared" si="5"/>
        <v>-29</v>
      </c>
      <c r="AA7" s="32">
        <f t="shared" si="6"/>
        <v>0</v>
      </c>
      <c r="AB7" s="20">
        <f t="shared" si="7"/>
        <v>-289996</v>
      </c>
    </row>
    <row r="8" spans="1:28" x14ac:dyDescent="0.3">
      <c r="A8" s="35" t="str">
        <f>'Gr. D+'!E12</f>
        <v>DefenseMutte</v>
      </c>
      <c r="B8" s="19"/>
      <c r="C8" s="19"/>
      <c r="S8" s="37" t="str">
        <f t="shared" si="0"/>
        <v>FRK Pawel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3</v>
      </c>
      <c r="V8" s="21">
        <f t="array" ref="V8">SUM((home=S8)*(homescore=visitorscore)*ISNUMBER(visitorscore),(visitor=S8)*(visitorscore=homescore)*ISNUMBER(homescore))</f>
        <v>2</v>
      </c>
      <c r="W8" s="21">
        <f t="array" ref="W8">SUM((home=S8)*(homescore&lt;visitorscore),(visitor=S8)*(visitorscore&lt;homescore))</f>
        <v>5</v>
      </c>
      <c r="X8" s="32">
        <f t="shared" ref="X8" si="14">SUMIF(home,S8,homescore)+SUMIF(visitor,S8,visitorscore)</f>
        <v>11</v>
      </c>
      <c r="Y8" s="33">
        <f t="shared" ref="Y8" si="15">SUMIF(home,S8,visitorscore)+SUMIF(visitor,S8,homescore)</f>
        <v>21</v>
      </c>
      <c r="Z8" s="34">
        <f t="shared" si="5"/>
        <v>-10</v>
      </c>
      <c r="AA8" s="32">
        <f t="shared" si="6"/>
        <v>11</v>
      </c>
      <c r="AB8" s="20">
        <f t="shared" si="7"/>
        <v>10999900011</v>
      </c>
    </row>
    <row r="9" spans="1:28" x14ac:dyDescent="0.3">
      <c r="A9" s="35" t="str">
        <f>'Gr. D+'!E13</f>
        <v>FRK Pawel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'Gr. D'!B7</f>
        <v>bobbiebobras</v>
      </c>
      <c r="B13" s="39" t="str">
        <f>'Gr. D'!D7</f>
        <v>Ruhbi</v>
      </c>
      <c r="C13" s="40">
        <f>IF('Gr. D'!E7="","",'Gr. D'!E7)</f>
        <v>4</v>
      </c>
      <c r="D13" s="40" t="s">
        <v>64</v>
      </c>
      <c r="E13" s="40">
        <f>IF('Gr. D'!G7="","",'Gr. D'!G7)</f>
        <v>1</v>
      </c>
      <c r="F13" s="34"/>
    </row>
    <row r="14" spans="1:28" x14ac:dyDescent="0.3">
      <c r="A14" s="39" t="str">
        <f>'Gr. D'!B8</f>
        <v>bobbiebobras</v>
      </c>
      <c r="B14" s="39" t="str">
        <f>'Gr. D'!D8</f>
        <v>ElMichaJ</v>
      </c>
      <c r="C14" s="40">
        <f>IF('Gr. D'!E8="","",'Gr. D'!E8)</f>
        <v>1</v>
      </c>
      <c r="D14" s="40" t="s">
        <v>64</v>
      </c>
      <c r="E14" s="40">
        <f>IF('Gr. D'!G8="","",'Gr. D'!G8)</f>
        <v>4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'Gr. D'!B9</f>
        <v>bobbiebobras</v>
      </c>
      <c r="B15" s="39" t="str">
        <f>'Gr. D'!D9</f>
        <v>Klinki</v>
      </c>
      <c r="C15" s="40">
        <f>IF('Gr. D'!E9="","",'Gr. D'!E9)</f>
        <v>8</v>
      </c>
      <c r="D15" s="40" t="s">
        <v>64</v>
      </c>
      <c r="E15" s="40">
        <f>IF('Gr. D'!G9="","",'Gr. D'!G9)</f>
        <v>0</v>
      </c>
      <c r="F15" s="34"/>
      <c r="H15" s="42" t="str">
        <f t="array" ref="H15">INDEX($S$3:$S$8,MATCH(LARGE($AB$3:$AB$8-ROW($AB$3:$AB$8)/COUNT($AB$3:$AB$8),ROW(H15)-ROW(H$15)+1),$AB$3:$AB$8-ROW($AB$3:$AB$8)/COUNT($AB$3:$AB$8),0))</f>
        <v>bobbiebobras</v>
      </c>
      <c r="I15" s="33">
        <f t="shared" ref="I15:I20" si="16">VLOOKUP($H15,$S$3:$AA$8,2,0)</f>
        <v>10</v>
      </c>
      <c r="J15" s="21">
        <f t="shared" ref="J15:J20" si="17">VLOOKUP($H15,$S$3:$AA$8,3,0)</f>
        <v>9</v>
      </c>
      <c r="K15" s="21">
        <f t="shared" ref="K15:K20" si="18">VLOOKUP($H15,$S$3:$AA$8,4,0)</f>
        <v>0</v>
      </c>
      <c r="L15" s="21">
        <f t="shared" ref="L15:L20" si="19">VLOOKUP($H15,$S$3:$AA$8,5,0)</f>
        <v>1</v>
      </c>
      <c r="M15" s="32">
        <f t="shared" ref="M15:M20" si="20">VLOOKUP($H15,$S$3:$AA$8,6,0)</f>
        <v>37</v>
      </c>
      <c r="N15" s="33">
        <f t="shared" ref="N15:N20" si="21">VLOOKUP($H15,$S$3:$AA$8,7,0)</f>
        <v>7</v>
      </c>
      <c r="O15" s="21">
        <f t="shared" ref="O15:O20" si="22">VLOOKUP($H15,$S$3:$AA$8,8,0)</f>
        <v>30</v>
      </c>
      <c r="P15" s="32">
        <f t="shared" ref="P15:P20" si="23">VLOOKUP($H15,$S$3:$AA$8,9,0)</f>
        <v>27</v>
      </c>
      <c r="Q15" s="21">
        <f>VLOOKUP(H15,'Master+'!$E$8:$H$15,3,0)</f>
        <v>0</v>
      </c>
    </row>
    <row r="16" spans="1:28" x14ac:dyDescent="0.3">
      <c r="A16" s="39" t="str">
        <f>'Gr. D'!B10</f>
        <v>bobbiebobras</v>
      </c>
      <c r="B16" s="39" t="str">
        <f>'Gr. D'!D10</f>
        <v>DefenseMutte</v>
      </c>
      <c r="C16" s="40">
        <f>IF('Gr. D'!E10="","",'Gr. D'!E10)</f>
        <v>2</v>
      </c>
      <c r="D16" s="40" t="s">
        <v>64</v>
      </c>
      <c r="E16" s="40">
        <f>IF('Gr. D'!G10="","",'Gr. D'!G10)</f>
        <v>1</v>
      </c>
      <c r="F16" s="34"/>
      <c r="H16" s="42" t="str">
        <f t="array" ref="H16">INDEX($S$3:$S$8,MATCH(LARGE($AB$3:$AB$8-ROW($AB$3:$AB$8)/COUNT($AB$3:$AB$8),ROW(H16)-ROW(H$15)+1),$AB$3:$AB$8-ROW($AB$3:$AB$8)/COUNT($AB$3:$AB$8),0))</f>
        <v>ElMichaJ</v>
      </c>
      <c r="I16" s="33">
        <f t="shared" si="16"/>
        <v>10</v>
      </c>
      <c r="J16" s="21">
        <f t="shared" si="17"/>
        <v>8</v>
      </c>
      <c r="K16" s="21">
        <f t="shared" si="18"/>
        <v>0</v>
      </c>
      <c r="L16" s="21">
        <f t="shared" si="19"/>
        <v>2</v>
      </c>
      <c r="M16" s="32">
        <f t="shared" si="20"/>
        <v>32</v>
      </c>
      <c r="N16" s="33">
        <f t="shared" si="21"/>
        <v>8</v>
      </c>
      <c r="O16" s="21">
        <f t="shared" si="22"/>
        <v>24</v>
      </c>
      <c r="P16" s="32">
        <f t="shared" si="23"/>
        <v>24</v>
      </c>
      <c r="Q16" s="21" t="e">
        <f>VLOOKUP(H16,'Master+'!$E$8:$H$15,3,0)</f>
        <v>#N/A</v>
      </c>
    </row>
    <row r="17" spans="1:17" x14ac:dyDescent="0.3">
      <c r="A17" s="39" t="str">
        <f>'Gr. D'!B11</f>
        <v>bobbiebobras</v>
      </c>
      <c r="B17" s="39" t="str">
        <f>'Gr. D'!D11</f>
        <v>FRK Pawel</v>
      </c>
      <c r="C17" s="40">
        <f>IF('Gr. D'!E11="","",'Gr. D'!E11)</f>
        <v>3</v>
      </c>
      <c r="D17" s="40" t="s">
        <v>64</v>
      </c>
      <c r="E17" s="40">
        <f>IF('Gr. D'!G11="","",'Gr. D'!G11)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Klinki</v>
      </c>
      <c r="I17" s="33">
        <f t="shared" si="16"/>
        <v>10</v>
      </c>
      <c r="J17" s="21">
        <f t="shared" si="17"/>
        <v>4</v>
      </c>
      <c r="K17" s="21">
        <f t="shared" si="18"/>
        <v>2</v>
      </c>
      <c r="L17" s="21">
        <f t="shared" si="19"/>
        <v>4</v>
      </c>
      <c r="M17" s="32">
        <f t="shared" si="20"/>
        <v>12</v>
      </c>
      <c r="N17" s="33">
        <f t="shared" si="21"/>
        <v>24</v>
      </c>
      <c r="O17" s="21">
        <f t="shared" si="22"/>
        <v>-12</v>
      </c>
      <c r="P17" s="32">
        <f t="shared" si="23"/>
        <v>14</v>
      </c>
      <c r="Q17" s="21" t="e">
        <f>VLOOKUP(H17,'Master+'!$E$8:$H$15,3,0)</f>
        <v>#N/A</v>
      </c>
    </row>
    <row r="18" spans="1:17" x14ac:dyDescent="0.3">
      <c r="A18" s="39" t="str">
        <f>'Gr. D'!B12</f>
        <v>Ruhbi</v>
      </c>
      <c r="B18" s="39" t="str">
        <f>'Gr. D'!D12</f>
        <v>ElMichaJ</v>
      </c>
      <c r="C18" s="40">
        <f>IF('Gr. D'!E12="","",'Gr. D'!E12)</f>
        <v>0</v>
      </c>
      <c r="D18" s="40" t="s">
        <v>64</v>
      </c>
      <c r="E18" s="40">
        <f>IF('Gr. D'!G12="","",'Gr. D'!G12)</f>
        <v>1</v>
      </c>
      <c r="F18" s="34"/>
      <c r="H18" s="42" t="str">
        <f t="array" ref="H18">INDEX($S$3:$S$8,MATCH(LARGE($AB$3:$AB$8-ROW($AB$3:$AB$8)/COUNT($AB$3:$AB$8),ROW(H18)-ROW(H$15)+1),$AB$3:$AB$8-ROW($AB$3:$AB$8)/COUNT($AB$3:$AB$8),0))</f>
        <v>Ruhbi</v>
      </c>
      <c r="I18" s="33">
        <f t="shared" si="16"/>
        <v>10</v>
      </c>
      <c r="J18" s="21">
        <f t="shared" si="17"/>
        <v>4</v>
      </c>
      <c r="K18" s="21">
        <f t="shared" si="18"/>
        <v>0</v>
      </c>
      <c r="L18" s="21">
        <f t="shared" si="19"/>
        <v>6</v>
      </c>
      <c r="M18" s="32">
        <f t="shared" si="20"/>
        <v>15</v>
      </c>
      <c r="N18" s="33">
        <f t="shared" si="21"/>
        <v>18</v>
      </c>
      <c r="O18" s="21">
        <f t="shared" si="22"/>
        <v>-3</v>
      </c>
      <c r="P18" s="32">
        <f t="shared" si="23"/>
        <v>12</v>
      </c>
      <c r="Q18" s="21" t="e">
        <f>VLOOKUP(H18,'Master+'!$E$8:$H$15,3,0)</f>
        <v>#N/A</v>
      </c>
    </row>
    <row r="19" spans="1:17" x14ac:dyDescent="0.3">
      <c r="A19" s="39" t="str">
        <f>'Gr. D'!B13</f>
        <v>Ruhbi</v>
      </c>
      <c r="B19" s="39" t="str">
        <f>'Gr. D'!D13</f>
        <v>Klinki</v>
      </c>
      <c r="C19" s="40">
        <f>IF('Gr. D'!E13="","",'Gr. D'!E13)</f>
        <v>0</v>
      </c>
      <c r="D19" s="40" t="s">
        <v>64</v>
      </c>
      <c r="E19" s="40">
        <f>IF('Gr. D'!G13="","",'Gr. D'!G13)</f>
        <v>1</v>
      </c>
      <c r="H19" s="42" t="str">
        <f t="array" ref="H19">INDEX($S$3:$S$8,MATCH(LARGE($AB$3:$AB$8-ROW($AB$3:$AB$8)/COUNT($AB$3:$AB$8),ROW(H19)-ROW(H$15)+1),$AB$3:$AB$8-ROW($AB$3:$AB$8)/COUNT($AB$3:$AB$8),0))</f>
        <v>FRK Pawel</v>
      </c>
      <c r="I19" s="33">
        <f t="shared" si="16"/>
        <v>10</v>
      </c>
      <c r="J19" s="21">
        <f t="shared" si="17"/>
        <v>3</v>
      </c>
      <c r="K19" s="21">
        <f t="shared" si="18"/>
        <v>2</v>
      </c>
      <c r="L19" s="21">
        <f t="shared" si="19"/>
        <v>5</v>
      </c>
      <c r="M19" s="32">
        <f t="shared" si="20"/>
        <v>11</v>
      </c>
      <c r="N19" s="33">
        <f t="shared" si="21"/>
        <v>21</v>
      </c>
      <c r="O19" s="21">
        <f t="shared" si="22"/>
        <v>-10</v>
      </c>
      <c r="P19" s="32">
        <f t="shared" si="23"/>
        <v>11</v>
      </c>
      <c r="Q19" s="21" t="e">
        <f>VLOOKUP(H19,'Master+'!$E$8:$H$15,3,0)</f>
        <v>#N/A</v>
      </c>
    </row>
    <row r="20" spans="1:17" x14ac:dyDescent="0.3">
      <c r="A20" s="39" t="str">
        <f>'Gr. D'!B14</f>
        <v>Ruhbi</v>
      </c>
      <c r="B20" s="39" t="str">
        <f>'Gr. D'!D14</f>
        <v>DefenseMutte</v>
      </c>
      <c r="C20" s="40">
        <f>IF('Gr. D'!E14="","",'Gr. D'!E14)</f>
        <v>3</v>
      </c>
      <c r="D20" s="40" t="s">
        <v>64</v>
      </c>
      <c r="E20" s="40">
        <f>IF('Gr. D'!G14="","",'Gr. D'!G14)</f>
        <v>0</v>
      </c>
      <c r="H20" s="42" t="str">
        <f t="array" ref="H20">INDEX($S$3:$S$8,MATCH(LARGE($AB$3:$AB$8-ROW($AB$3:$AB$8)/COUNT($AB$3:$AB$8),ROW(H20)-ROW(H$15)+1),$AB$3:$AB$8-ROW($AB$3:$AB$8)/COUNT($AB$3:$AB$8),0))</f>
        <v>DefenseMutte</v>
      </c>
      <c r="I20" s="33">
        <f t="shared" si="16"/>
        <v>10</v>
      </c>
      <c r="J20" s="21">
        <f t="shared" si="17"/>
        <v>0</v>
      </c>
      <c r="K20" s="21">
        <f t="shared" si="18"/>
        <v>0</v>
      </c>
      <c r="L20" s="21">
        <f t="shared" si="19"/>
        <v>10</v>
      </c>
      <c r="M20" s="32">
        <f t="shared" si="20"/>
        <v>4</v>
      </c>
      <c r="N20" s="33">
        <f t="shared" si="21"/>
        <v>33</v>
      </c>
      <c r="O20" s="21">
        <f t="shared" si="22"/>
        <v>-29</v>
      </c>
      <c r="P20" s="32">
        <f t="shared" si="23"/>
        <v>0</v>
      </c>
      <c r="Q20" s="21" t="e">
        <f>VLOOKUP(H20,'Master+'!$E$8:$H$15,3,0)</f>
        <v>#N/A</v>
      </c>
    </row>
    <row r="21" spans="1:17" x14ac:dyDescent="0.3">
      <c r="A21" s="39" t="str">
        <f>'Gr. D'!B15</f>
        <v>Ruhbi</v>
      </c>
      <c r="B21" s="39" t="str">
        <f>'Gr. D'!D15</f>
        <v>FRK Pawel</v>
      </c>
      <c r="C21" s="40">
        <f>IF('Gr. D'!E15="","",'Gr. D'!E15)</f>
        <v>1</v>
      </c>
      <c r="D21" s="40" t="s">
        <v>64</v>
      </c>
      <c r="E21" s="40">
        <f>IF('Gr. D'!G15="","",'Gr. D'!G15)</f>
        <v>0</v>
      </c>
      <c r="Q21" s="21"/>
    </row>
    <row r="22" spans="1:17" x14ac:dyDescent="0.3">
      <c r="A22" s="39" t="str">
        <f>'Gr. D'!B16</f>
        <v>ElMichaJ</v>
      </c>
      <c r="B22" s="39" t="str">
        <f>'Gr. D'!D16</f>
        <v>Klinki</v>
      </c>
      <c r="C22" s="40">
        <f>IF('Gr. D'!E16="","",'Gr. D'!E16)</f>
        <v>0</v>
      </c>
      <c r="D22" s="40" t="s">
        <v>64</v>
      </c>
      <c r="E22" s="40">
        <f>IF('Gr. D'!G16="","",'Gr. D'!G16)</f>
        <v>1</v>
      </c>
      <c r="Q22" s="21"/>
    </row>
    <row r="23" spans="1:17" x14ac:dyDescent="0.3">
      <c r="A23" s="39" t="str">
        <f>'Gr. D'!B17</f>
        <v>ElMichaJ</v>
      </c>
      <c r="B23" s="39" t="str">
        <f>'Gr. D'!D17</f>
        <v>DefenseMutte</v>
      </c>
      <c r="C23" s="40">
        <f>IF('Gr. D'!E17="","",'Gr. D'!E17)</f>
        <v>7</v>
      </c>
      <c r="D23" s="40" t="s">
        <v>64</v>
      </c>
      <c r="E23" s="40">
        <f>IF('Gr. D'!G17="","",'Gr. D'!G17)</f>
        <v>0</v>
      </c>
    </row>
    <row r="24" spans="1:17" x14ac:dyDescent="0.3">
      <c r="A24" s="39" t="str">
        <f>'Gr. D'!B18</f>
        <v>ElMichaJ</v>
      </c>
      <c r="B24" s="39" t="str">
        <f>'Gr. D'!D18</f>
        <v>FRK Pawel</v>
      </c>
      <c r="C24" s="40">
        <f>IF('Gr. D'!E18="","",'Gr. D'!E18)</f>
        <v>5</v>
      </c>
      <c r="D24" s="40" t="s">
        <v>64</v>
      </c>
      <c r="E24" s="40">
        <f>IF('Gr. D'!G18="","",'Gr. D'!G18)</f>
        <v>0</v>
      </c>
    </row>
    <row r="25" spans="1:17" x14ac:dyDescent="0.3">
      <c r="A25" s="39" t="str">
        <f>'Gr. D'!B19</f>
        <v>Klinki</v>
      </c>
      <c r="B25" s="39" t="str">
        <f>'Gr. D'!D19</f>
        <v>DefenseMutte</v>
      </c>
      <c r="C25" s="40">
        <f>IF('Gr. D'!E19="","",'Gr. D'!E19)</f>
        <v>2</v>
      </c>
      <c r="D25" s="40" t="s">
        <v>64</v>
      </c>
      <c r="E25" s="40">
        <f>IF('Gr. D'!G19="","",'Gr. D'!G19)</f>
        <v>1</v>
      </c>
    </row>
    <row r="26" spans="1:17" x14ac:dyDescent="0.3">
      <c r="A26" s="39" t="str">
        <f>'Gr. D'!B20</f>
        <v>Klinki</v>
      </c>
      <c r="B26" s="39" t="str">
        <f>'Gr. D'!D20</f>
        <v>FRK Pawel</v>
      </c>
      <c r="C26" s="40">
        <f>IF('Gr. D'!E20="","",'Gr. D'!E20)</f>
        <v>0</v>
      </c>
      <c r="D26" s="40" t="s">
        <v>64</v>
      </c>
      <c r="E26" s="40">
        <f>IF('Gr. D'!G20="","",'Gr. D'!G20)</f>
        <v>0</v>
      </c>
    </row>
    <row r="27" spans="1:17" x14ac:dyDescent="0.3">
      <c r="A27" s="39" t="str">
        <f>'Gr. D'!B21</f>
        <v>DefenseMutte</v>
      </c>
      <c r="B27" s="39" t="str">
        <f>'Gr. D'!D21</f>
        <v>FRK Pawel</v>
      </c>
      <c r="C27" s="40">
        <f>IF('Gr. D'!E21="","",'Gr. D'!E21)</f>
        <v>1</v>
      </c>
      <c r="D27" s="40" t="s">
        <v>64</v>
      </c>
      <c r="E27" s="40">
        <f>IF('Gr. D'!G21="","",'Gr. D'!G21)</f>
        <v>2</v>
      </c>
    </row>
    <row r="28" spans="1:17" x14ac:dyDescent="0.3">
      <c r="A28" s="39" t="str">
        <f>'Gr. D'!J7</f>
        <v>Ruhbi</v>
      </c>
      <c r="B28" s="39" t="str">
        <f>'Gr. D'!L7</f>
        <v>bobbiebobras</v>
      </c>
      <c r="C28" s="40">
        <f>IF('Gr. D'!M7="","",'Gr. D'!M7)</f>
        <v>0</v>
      </c>
      <c r="D28" s="40" t="s">
        <v>64</v>
      </c>
      <c r="E28" s="40">
        <f>IF('Gr. D'!O7="","",'Gr. D'!O7)</f>
        <v>4</v>
      </c>
    </row>
    <row r="29" spans="1:17" x14ac:dyDescent="0.3">
      <c r="A29" s="39" t="str">
        <f>'Gr. D'!J8</f>
        <v>ElMichaJ</v>
      </c>
      <c r="B29" s="39" t="str">
        <f>'Gr. D'!L8</f>
        <v>bobbiebobras</v>
      </c>
      <c r="C29" s="40">
        <f>IF('Gr. D'!M8="","",'Gr. D'!M8)</f>
        <v>0</v>
      </c>
      <c r="D29" s="40" t="s">
        <v>64</v>
      </c>
      <c r="E29" s="40">
        <f>IF('Gr. D'!O8="","",'Gr. D'!O8)</f>
        <v>4</v>
      </c>
    </row>
    <row r="30" spans="1:17" x14ac:dyDescent="0.3">
      <c r="A30" s="39" t="str">
        <f>'Gr. D'!J9</f>
        <v>Klinki</v>
      </c>
      <c r="B30" s="39" t="str">
        <f>'Gr. D'!L9</f>
        <v>bobbiebobras</v>
      </c>
      <c r="C30" s="40">
        <f>IF('Gr. D'!M9="","",'Gr. D'!M9)</f>
        <v>1</v>
      </c>
      <c r="D30" s="40" t="s">
        <v>64</v>
      </c>
      <c r="E30" s="40">
        <f>IF('Gr. D'!O9="","",'Gr. D'!O9)</f>
        <v>3</v>
      </c>
    </row>
    <row r="31" spans="1:17" x14ac:dyDescent="0.3">
      <c r="A31" s="39" t="str">
        <f>'Gr. D'!J10</f>
        <v>DefenseMutte</v>
      </c>
      <c r="B31" s="39" t="str">
        <f>'Gr. D'!L10</f>
        <v>bobbiebobras</v>
      </c>
      <c r="C31" s="40">
        <f>IF('Gr. D'!M10="","",'Gr. D'!M10)</f>
        <v>0</v>
      </c>
      <c r="D31" s="40" t="s">
        <v>64</v>
      </c>
      <c r="E31" s="40">
        <f>IF('Gr. D'!O10="","",'Gr. D'!O10)</f>
        <v>5</v>
      </c>
    </row>
    <row r="32" spans="1:17" x14ac:dyDescent="0.3">
      <c r="A32" s="39" t="str">
        <f>'Gr. D'!J11</f>
        <v>FRK Pawel</v>
      </c>
      <c r="B32" s="39" t="str">
        <f>'Gr. D'!L11</f>
        <v>bobbiebobras</v>
      </c>
      <c r="C32" s="40">
        <f>IF('Gr. D'!M11="","",'Gr. D'!M11)</f>
        <v>0</v>
      </c>
      <c r="D32" s="40" t="s">
        <v>64</v>
      </c>
      <c r="E32" s="40">
        <f>IF('Gr. D'!O11="","",'Gr. D'!O11)</f>
        <v>3</v>
      </c>
    </row>
    <row r="33" spans="1:5" x14ac:dyDescent="0.3">
      <c r="A33" s="39" t="str">
        <f>'Gr. D'!J12</f>
        <v>ElMichaJ</v>
      </c>
      <c r="B33" s="39" t="str">
        <f>'Gr. D'!L12</f>
        <v>Ruhbi</v>
      </c>
      <c r="C33" s="40">
        <f>IF('Gr. D'!M12="","",'Gr. D'!M12)</f>
        <v>4</v>
      </c>
      <c r="D33" s="40" t="s">
        <v>64</v>
      </c>
      <c r="E33" s="40">
        <f>IF('Gr. D'!O12="","",'Gr. D'!O12)</f>
        <v>1</v>
      </c>
    </row>
    <row r="34" spans="1:5" x14ac:dyDescent="0.3">
      <c r="A34" s="39" t="str">
        <f>'Gr. D'!J13</f>
        <v>Klinki</v>
      </c>
      <c r="B34" s="39" t="str">
        <f>'Gr. D'!L13</f>
        <v>Ruhbi</v>
      </c>
      <c r="C34" s="40">
        <f>IF('Gr. D'!M13="","",'Gr. D'!M13)</f>
        <v>1</v>
      </c>
      <c r="D34" s="40" t="s">
        <v>64</v>
      </c>
      <c r="E34" s="40">
        <f>IF('Gr. D'!O13="","",'Gr. D'!O13)</f>
        <v>5</v>
      </c>
    </row>
    <row r="35" spans="1:5" x14ac:dyDescent="0.3">
      <c r="A35" s="39" t="str">
        <f>'Gr. D'!J14</f>
        <v>DefenseMutte</v>
      </c>
      <c r="B35" s="39" t="str">
        <f>'Gr. D'!L14</f>
        <v>Ruhbi</v>
      </c>
      <c r="C35" s="40">
        <f>IF('Gr. D'!M14="","",'Gr. D'!M14)</f>
        <v>0</v>
      </c>
      <c r="D35" s="40" t="s">
        <v>64</v>
      </c>
      <c r="E35" s="40">
        <f>IF('Gr. D'!O14="","",'Gr. D'!O14)</f>
        <v>3</v>
      </c>
    </row>
    <row r="36" spans="1:5" x14ac:dyDescent="0.3">
      <c r="A36" s="39" t="str">
        <f>'Gr. D'!J15</f>
        <v>FRK Pawel</v>
      </c>
      <c r="B36" s="39" t="str">
        <f>'Gr. D'!L15</f>
        <v>Ruhbi</v>
      </c>
      <c r="C36" s="40">
        <f>IF('Gr. D'!M15="","",'Gr. D'!M15)</f>
        <v>3</v>
      </c>
      <c r="D36" s="40" t="s">
        <v>64</v>
      </c>
      <c r="E36" s="40">
        <f>IF('Gr. D'!O15="","",'Gr. D'!O15)</f>
        <v>1</v>
      </c>
    </row>
    <row r="37" spans="1:5" x14ac:dyDescent="0.3">
      <c r="A37" s="39" t="str">
        <f>'Gr. D'!J16</f>
        <v>Klinki</v>
      </c>
      <c r="B37" s="39" t="str">
        <f>'Gr. D'!L16</f>
        <v>ElMichaJ</v>
      </c>
      <c r="C37" s="40">
        <f>IF('Gr. D'!M16="","",'Gr. D'!M16)</f>
        <v>1</v>
      </c>
      <c r="D37" s="40" t="s">
        <v>64</v>
      </c>
      <c r="E37" s="40">
        <f>IF('Gr. D'!O16="","",'Gr. D'!O16)</f>
        <v>3</v>
      </c>
    </row>
    <row r="38" spans="1:5" x14ac:dyDescent="0.3">
      <c r="A38" s="39" t="str">
        <f>'Gr. D'!J17</f>
        <v>DefenseMutte</v>
      </c>
      <c r="B38" s="39" t="str">
        <f>'Gr. D'!L17</f>
        <v>ElMichaJ</v>
      </c>
      <c r="C38" s="40">
        <f>IF('Gr. D'!M17="","",'Gr. D'!M17)</f>
        <v>0</v>
      </c>
      <c r="D38" s="40" t="s">
        <v>64</v>
      </c>
      <c r="E38" s="40">
        <f>IF('Gr. D'!O17="","",'Gr. D'!O17)</f>
        <v>4</v>
      </c>
    </row>
    <row r="39" spans="1:5" x14ac:dyDescent="0.3">
      <c r="A39" s="39" t="str">
        <f>'Gr. D'!J18</f>
        <v>FRK Pawel</v>
      </c>
      <c r="B39" s="39" t="str">
        <f>'Gr. D'!L18</f>
        <v>ElMichaJ</v>
      </c>
      <c r="C39" s="40">
        <f>IF('Gr. D'!M18="","",'Gr. D'!M18)</f>
        <v>0</v>
      </c>
      <c r="D39" s="40" t="s">
        <v>64</v>
      </c>
      <c r="E39" s="40">
        <f>IF('Gr. D'!O18="","",'Gr. D'!O18)</f>
        <v>4</v>
      </c>
    </row>
    <row r="40" spans="1:5" x14ac:dyDescent="0.3">
      <c r="A40" s="39" t="str">
        <f>'Gr. D'!J19</f>
        <v>DefenseMutte</v>
      </c>
      <c r="B40" s="39" t="str">
        <f>'Gr. D'!L19</f>
        <v>Klinki</v>
      </c>
      <c r="C40" s="40">
        <f>IF('Gr. D'!M19="","",'Gr. D'!M19)</f>
        <v>1</v>
      </c>
      <c r="D40" s="40" t="s">
        <v>64</v>
      </c>
      <c r="E40" s="40">
        <f>IF('Gr. D'!O19="","",'Gr. D'!O19)</f>
        <v>2</v>
      </c>
    </row>
    <row r="41" spans="1:5" x14ac:dyDescent="0.3">
      <c r="A41" s="39" t="str">
        <f>'Gr. D'!J20</f>
        <v>FRK Pawel</v>
      </c>
      <c r="B41" s="39" t="str">
        <f>'Gr. D'!L20</f>
        <v>Klinki</v>
      </c>
      <c r="C41" s="40">
        <f>IF('Gr. D'!M20="","",'Gr. D'!M20)</f>
        <v>3</v>
      </c>
      <c r="D41" s="40" t="s">
        <v>64</v>
      </c>
      <c r="E41" s="40">
        <f>IF('Gr. D'!O20="","",'Gr. D'!O20)</f>
        <v>3</v>
      </c>
    </row>
    <row r="42" spans="1:5" x14ac:dyDescent="0.3">
      <c r="A42" s="39" t="str">
        <f>'Gr. D'!J21</f>
        <v>FRK Pawel</v>
      </c>
      <c r="B42" s="39" t="str">
        <f>'Gr. D'!L21</f>
        <v>DefenseMutte</v>
      </c>
      <c r="C42" s="40">
        <f>IF('Gr. D'!M21="","",'Gr. D'!M21)</f>
        <v>3</v>
      </c>
      <c r="D42" s="40" t="s">
        <v>64</v>
      </c>
      <c r="E42" s="40">
        <f>IF('Gr. D'!O21="","",'Gr. D'!O21)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workbookViewId="0">
      <selection activeCell="A4" sqref="A4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'Gr. E+'!E8</f>
        <v>Playaveli</v>
      </c>
      <c r="C2" s="275"/>
      <c r="D2" s="276"/>
      <c r="E2" s="283" t="str">
        <f>IFERROR('Gr. E+'!D2,"-")</f>
        <v>Group E</v>
      </c>
      <c r="F2" s="284"/>
      <c r="G2" s="284"/>
      <c r="H2" s="284"/>
      <c r="I2" s="285"/>
      <c r="J2" s="274" t="str">
        <f>'Gr. E+'!E11</f>
        <v>DoTa</v>
      </c>
      <c r="K2" s="275"/>
      <c r="L2" s="276"/>
    </row>
    <row r="3" spans="1:15" ht="19.5" customHeight="1" thickBot="1" x14ac:dyDescent="0.35">
      <c r="A3" s="6"/>
      <c r="B3" s="274" t="str">
        <f>'Gr. E+'!E9</f>
        <v>Foka</v>
      </c>
      <c r="C3" s="275"/>
      <c r="D3" s="276"/>
      <c r="E3" s="283"/>
      <c r="F3" s="284"/>
      <c r="G3" s="284"/>
      <c r="H3" s="284"/>
      <c r="I3" s="285"/>
      <c r="J3" s="274" t="str">
        <f>'Gr. E+'!E12</f>
        <v>Caniggia11</v>
      </c>
      <c r="K3" s="275"/>
      <c r="L3" s="276"/>
    </row>
    <row r="4" spans="1:15" ht="19.5" customHeight="1" thickBot="1" x14ac:dyDescent="0.35">
      <c r="A4" s="6"/>
      <c r="B4" s="274" t="str">
        <f>'Gr. E+'!E10</f>
        <v>Hawkz</v>
      </c>
      <c r="C4" s="275"/>
      <c r="D4" s="276"/>
      <c r="E4" s="6"/>
      <c r="F4" s="6"/>
      <c r="G4" s="6"/>
      <c r="H4" s="6"/>
      <c r="I4" s="6"/>
      <c r="J4" s="274" t="str">
        <f>'Gr. E+'!E13</f>
        <v>Dior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215" t="s">
        <v>18</v>
      </c>
      <c r="B6" s="215" t="s">
        <v>15</v>
      </c>
      <c r="C6" s="215"/>
      <c r="D6" s="215" t="s">
        <v>16</v>
      </c>
      <c r="E6" s="273" t="s">
        <v>17</v>
      </c>
      <c r="F6" s="273"/>
      <c r="G6" s="273"/>
      <c r="H6" s="3"/>
      <c r="I6" s="215" t="s">
        <v>18</v>
      </c>
      <c r="J6" s="215" t="s">
        <v>15</v>
      </c>
      <c r="K6" s="215"/>
      <c r="L6" s="215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IFERROR(VLOOKUP('Gr. E+'!C16,'Gr. E+'!$D$8:$E$13,2,0),"-")</f>
        <v>Playaveli</v>
      </c>
      <c r="C7" s="5" t="s">
        <v>19</v>
      </c>
      <c r="D7" s="4" t="str">
        <f>IFERROR(VLOOKUP('Gr. E+'!E16,'Gr. E+'!$D$8:$E$13,2,0),"-")</f>
        <v>Foka</v>
      </c>
      <c r="E7" s="4">
        <v>3</v>
      </c>
      <c r="F7" s="5" t="s">
        <v>19</v>
      </c>
      <c r="G7" s="4">
        <v>0</v>
      </c>
      <c r="H7" s="6"/>
      <c r="I7" s="4" t="s">
        <v>20</v>
      </c>
      <c r="J7" s="4" t="str">
        <f>IFERROR(VLOOKUP('Gr. E+'!H16,'Gr. E+'!$D$8:$E$13,2,0),"-")</f>
        <v>Foka</v>
      </c>
      <c r="K7" s="5" t="s">
        <v>19</v>
      </c>
      <c r="L7" s="4" t="str">
        <f>IFERROR(VLOOKUP('Gr. E+'!J16,'Gr. E+'!$D$8:$E$13,2,0),"-")</f>
        <v>Playaveli</v>
      </c>
      <c r="M7" s="4">
        <v>1</v>
      </c>
      <c r="N7" s="5" t="s">
        <v>19</v>
      </c>
      <c r="O7" s="4">
        <v>2</v>
      </c>
    </row>
    <row r="8" spans="1:15" s="49" customFormat="1" ht="18" customHeight="1" thickBot="1" x14ac:dyDescent="0.35">
      <c r="A8" s="4" t="s">
        <v>1</v>
      </c>
      <c r="B8" s="4" t="str">
        <f>IFERROR(VLOOKUP('Gr. E+'!C17,'Gr. E+'!$D$8:$E$13,2,0),"-")</f>
        <v>Playaveli</v>
      </c>
      <c r="C8" s="5" t="s">
        <v>19</v>
      </c>
      <c r="D8" s="4" t="str">
        <f>IFERROR(VLOOKUP('Gr. E+'!E17,'Gr. E+'!$D$8:$E$13,2,0),"-")</f>
        <v>Hawkz</v>
      </c>
      <c r="E8" s="4">
        <v>3</v>
      </c>
      <c r="F8" s="5" t="s">
        <v>19</v>
      </c>
      <c r="G8" s="4">
        <v>0</v>
      </c>
      <c r="H8" s="6"/>
      <c r="I8" s="4" t="s">
        <v>21</v>
      </c>
      <c r="J8" s="4" t="str">
        <f>IFERROR(VLOOKUP('Gr. E+'!H17,'Gr. E+'!$D$8:$E$13,2,0),"-")</f>
        <v>Hawkz</v>
      </c>
      <c r="K8" s="5" t="s">
        <v>19</v>
      </c>
      <c r="L8" s="4" t="str">
        <f>IFERROR(VLOOKUP('Gr. E+'!J17,'Gr. E+'!$D$8:$E$13,2,0),"-")</f>
        <v>Playaveli</v>
      </c>
      <c r="M8" s="4">
        <v>1</v>
      </c>
      <c r="N8" s="5" t="s">
        <v>19</v>
      </c>
      <c r="O8" s="4">
        <v>3</v>
      </c>
    </row>
    <row r="9" spans="1:15" s="49" customFormat="1" ht="18" customHeight="1" thickBot="1" x14ac:dyDescent="0.35">
      <c r="A9" s="4" t="s">
        <v>2</v>
      </c>
      <c r="B9" s="4" t="str">
        <f>IFERROR(VLOOKUP('Gr. E+'!C18,'Gr. E+'!$D$8:$E$13,2,0),"-")</f>
        <v>Playaveli</v>
      </c>
      <c r="C9" s="5" t="s">
        <v>19</v>
      </c>
      <c r="D9" s="4" t="str">
        <f>IFERROR(VLOOKUP('Gr. E+'!E18,'Gr. E+'!$D$8:$E$13,2,0),"-")</f>
        <v>DoTa</v>
      </c>
      <c r="E9" s="4">
        <v>2</v>
      </c>
      <c r="F9" s="5" t="s">
        <v>19</v>
      </c>
      <c r="G9" s="4">
        <v>1</v>
      </c>
      <c r="H9" s="6"/>
      <c r="I9" s="4" t="s">
        <v>22</v>
      </c>
      <c r="J9" s="4" t="str">
        <f>IFERROR(VLOOKUP('Gr. E+'!H18,'Gr. E+'!$D$8:$E$13,2,0),"-")</f>
        <v>DoTa</v>
      </c>
      <c r="K9" s="5" t="s">
        <v>19</v>
      </c>
      <c r="L9" s="4" t="str">
        <f>IFERROR(VLOOKUP('Gr. E+'!J18,'Gr. E+'!$D$8:$E$13,2,0),"-")</f>
        <v>Playaveli</v>
      </c>
      <c r="M9" s="4">
        <v>0</v>
      </c>
      <c r="N9" s="5" t="s">
        <v>19</v>
      </c>
      <c r="O9" s="4">
        <v>6</v>
      </c>
    </row>
    <row r="10" spans="1:15" s="49" customFormat="1" ht="18" customHeight="1" thickBot="1" x14ac:dyDescent="0.35">
      <c r="A10" s="4" t="s">
        <v>3</v>
      </c>
      <c r="B10" s="4" t="str">
        <f>IFERROR(VLOOKUP('Gr. E+'!C19,'Gr. E+'!$D$8:$E$13,2,0),"-")</f>
        <v>Playaveli</v>
      </c>
      <c r="C10" s="5" t="s">
        <v>19</v>
      </c>
      <c r="D10" s="4" t="str">
        <f>IFERROR(VLOOKUP('Gr. E+'!E19,'Gr. E+'!$D$8:$E$13,2,0),"-")</f>
        <v>Caniggia11</v>
      </c>
      <c r="E10" s="4">
        <v>4</v>
      </c>
      <c r="F10" s="5" t="s">
        <v>19</v>
      </c>
      <c r="G10" s="4">
        <v>1</v>
      </c>
      <c r="H10" s="6"/>
      <c r="I10" s="4" t="s">
        <v>23</v>
      </c>
      <c r="J10" s="4" t="str">
        <f>IFERROR(VLOOKUP('Gr. E+'!H19,'Gr. E+'!$D$8:$E$13,2,0),"-")</f>
        <v>Caniggia11</v>
      </c>
      <c r="K10" s="5" t="s">
        <v>19</v>
      </c>
      <c r="L10" s="4" t="str">
        <f>IFERROR(VLOOKUP('Gr. E+'!J19,'Gr. E+'!$D$8:$E$13,2,0),"-")</f>
        <v>Playaveli</v>
      </c>
      <c r="M10" s="4">
        <v>1</v>
      </c>
      <c r="N10" s="5" t="s">
        <v>19</v>
      </c>
      <c r="O10" s="4">
        <v>6</v>
      </c>
    </row>
    <row r="11" spans="1:15" s="49" customFormat="1" ht="18" customHeight="1" thickBot="1" x14ac:dyDescent="0.35">
      <c r="A11" s="4" t="s">
        <v>4</v>
      </c>
      <c r="B11" s="4" t="str">
        <f>IFERROR(VLOOKUP('Gr. E+'!C20,'Gr. E+'!$D$8:$E$13,2,0),"-")</f>
        <v>Playaveli</v>
      </c>
      <c r="C11" s="5" t="s">
        <v>19</v>
      </c>
      <c r="D11" s="4" t="str">
        <f>IFERROR(VLOOKUP('Gr. E+'!E20,'Gr. E+'!$D$8:$E$13,2,0),"-")</f>
        <v>Dior</v>
      </c>
      <c r="E11" s="4">
        <v>5</v>
      </c>
      <c r="F11" s="5" t="s">
        <v>19</v>
      </c>
      <c r="G11" s="4">
        <v>0</v>
      </c>
      <c r="H11" s="6"/>
      <c r="I11" s="4" t="s">
        <v>24</v>
      </c>
      <c r="J11" s="4" t="str">
        <f>IFERROR(VLOOKUP('Gr. E+'!H20,'Gr. E+'!$D$8:$E$13,2,0),"-")</f>
        <v>Dior</v>
      </c>
      <c r="K11" s="5" t="s">
        <v>19</v>
      </c>
      <c r="L11" s="4" t="str">
        <f>IFERROR(VLOOKUP('Gr. E+'!J20,'Gr. E+'!$D$8:$E$13,2,0),"-")</f>
        <v>Playaveli</v>
      </c>
      <c r="M11" s="4">
        <v>1</v>
      </c>
      <c r="N11" s="5" t="s">
        <v>19</v>
      </c>
      <c r="O11" s="4">
        <v>1</v>
      </c>
    </row>
    <row r="12" spans="1:15" s="49" customFormat="1" ht="18" customHeight="1" thickBot="1" x14ac:dyDescent="0.35">
      <c r="A12" s="4" t="s">
        <v>5</v>
      </c>
      <c r="B12" s="4" t="str">
        <f>IFERROR(VLOOKUP('Gr. E+'!C21,'Gr. E+'!$D$8:$E$13,2,0),"-")</f>
        <v>Foka</v>
      </c>
      <c r="C12" s="5" t="s">
        <v>19</v>
      </c>
      <c r="D12" s="4" t="str">
        <f>IFERROR(VLOOKUP('Gr. E+'!E21,'Gr. E+'!$D$8:$E$13,2,0),"-")</f>
        <v>Hawkz</v>
      </c>
      <c r="E12" s="4">
        <v>2</v>
      </c>
      <c r="F12" s="5" t="s">
        <v>19</v>
      </c>
      <c r="G12" s="4">
        <v>5</v>
      </c>
      <c r="H12" s="6"/>
      <c r="I12" s="4" t="s">
        <v>25</v>
      </c>
      <c r="J12" s="4" t="str">
        <f>IFERROR(VLOOKUP('Gr. E+'!H21,'Gr. E+'!$D$8:$E$13,2,0),"-")</f>
        <v>Hawkz</v>
      </c>
      <c r="K12" s="5" t="s">
        <v>19</v>
      </c>
      <c r="L12" s="4" t="str">
        <f>IFERROR(VLOOKUP('Gr. E+'!J21,'Gr. E+'!$D$8:$E$13,2,0),"-")</f>
        <v>Foka</v>
      </c>
      <c r="M12" s="4">
        <v>2</v>
      </c>
      <c r="N12" s="5" t="s">
        <v>19</v>
      </c>
      <c r="O12" s="4">
        <v>2</v>
      </c>
    </row>
    <row r="13" spans="1:15" s="49" customFormat="1" ht="18" customHeight="1" thickBot="1" x14ac:dyDescent="0.35">
      <c r="A13" s="4" t="s">
        <v>6</v>
      </c>
      <c r="B13" s="4" t="str">
        <f>IFERROR(VLOOKUP('Gr. E+'!C22,'Gr. E+'!$D$8:$E$13,2,0),"-")</f>
        <v>Foka</v>
      </c>
      <c r="C13" s="5" t="s">
        <v>19</v>
      </c>
      <c r="D13" s="4" t="str">
        <f>IFERROR(VLOOKUP('Gr. E+'!E22,'Gr. E+'!$D$8:$E$13,2,0),"-")</f>
        <v>DoTa</v>
      </c>
      <c r="E13" s="4">
        <v>4</v>
      </c>
      <c r="F13" s="5" t="s">
        <v>19</v>
      </c>
      <c r="G13" s="4">
        <v>3</v>
      </c>
      <c r="H13" s="6"/>
      <c r="I13" s="4" t="s">
        <v>26</v>
      </c>
      <c r="J13" s="4" t="str">
        <f>IFERROR(VLOOKUP('Gr. E+'!H22,'Gr. E+'!$D$8:$E$13,2,0),"-")</f>
        <v>DoTa</v>
      </c>
      <c r="K13" s="5" t="s">
        <v>19</v>
      </c>
      <c r="L13" s="4" t="str">
        <f>IFERROR(VLOOKUP('Gr. E+'!J22,'Gr. E+'!$D$8:$E$13,2,0),"-")</f>
        <v>Foka</v>
      </c>
      <c r="M13" s="4">
        <v>2</v>
      </c>
      <c r="N13" s="5" t="s">
        <v>19</v>
      </c>
      <c r="O13" s="4">
        <v>0</v>
      </c>
    </row>
    <row r="14" spans="1:15" s="49" customFormat="1" ht="18" customHeight="1" thickBot="1" x14ac:dyDescent="0.35">
      <c r="A14" s="4" t="s">
        <v>7</v>
      </c>
      <c r="B14" s="4" t="str">
        <f>IFERROR(VLOOKUP('Gr. E+'!C23,'Gr. E+'!$D$8:$E$13,2,0),"-")</f>
        <v>Foka</v>
      </c>
      <c r="C14" s="5" t="s">
        <v>19</v>
      </c>
      <c r="D14" s="4" t="str">
        <f>IFERROR(VLOOKUP('Gr. E+'!E23,'Gr. E+'!$D$8:$E$13,2,0),"-")</f>
        <v>Caniggia11</v>
      </c>
      <c r="E14" s="4">
        <v>2</v>
      </c>
      <c r="F14" s="5" t="s">
        <v>19</v>
      </c>
      <c r="G14" s="4">
        <v>0</v>
      </c>
      <c r="H14" s="6"/>
      <c r="I14" s="4" t="s">
        <v>27</v>
      </c>
      <c r="J14" s="4" t="str">
        <f>IFERROR(VLOOKUP('Gr. E+'!H23,'Gr. E+'!$D$8:$E$13,2,0),"-")</f>
        <v>Caniggia11</v>
      </c>
      <c r="K14" s="5" t="s">
        <v>19</v>
      </c>
      <c r="L14" s="4" t="str">
        <f>IFERROR(VLOOKUP('Gr. E+'!J23,'Gr. E+'!$D$8:$E$13,2,0),"-")</f>
        <v>Foka</v>
      </c>
      <c r="M14" s="4">
        <v>0</v>
      </c>
      <c r="N14" s="5" t="s">
        <v>19</v>
      </c>
      <c r="O14" s="4">
        <v>5</v>
      </c>
    </row>
    <row r="15" spans="1:15" s="49" customFormat="1" ht="18" customHeight="1" thickBot="1" x14ac:dyDescent="0.35">
      <c r="A15" s="4" t="s">
        <v>8</v>
      </c>
      <c r="B15" s="4" t="str">
        <f>IFERROR(VLOOKUP('Gr. E+'!C24,'Gr. E+'!$D$8:$E$13,2,0),"-")</f>
        <v>Foka</v>
      </c>
      <c r="C15" s="5" t="s">
        <v>19</v>
      </c>
      <c r="D15" s="4" t="str">
        <f>IFERROR(VLOOKUP('Gr. E+'!E24,'Gr. E+'!$D$8:$E$13,2,0),"-")</f>
        <v>Dior</v>
      </c>
      <c r="E15" s="4">
        <v>3</v>
      </c>
      <c r="F15" s="5" t="s">
        <v>19</v>
      </c>
      <c r="G15" s="4">
        <v>1</v>
      </c>
      <c r="H15" s="6"/>
      <c r="I15" s="4" t="s">
        <v>28</v>
      </c>
      <c r="J15" s="4" t="str">
        <f>IFERROR(VLOOKUP('Gr. E+'!H24,'Gr. E+'!$D$8:$E$13,2,0),"-")</f>
        <v>Dior</v>
      </c>
      <c r="K15" s="5" t="s">
        <v>19</v>
      </c>
      <c r="L15" s="4" t="str">
        <f>IFERROR(VLOOKUP('Gr. E+'!J24,'Gr. E+'!$D$8:$E$13,2,0),"-")</f>
        <v>Foka</v>
      </c>
      <c r="M15" s="4">
        <v>1</v>
      </c>
      <c r="N15" s="5" t="s">
        <v>19</v>
      </c>
      <c r="O15" s="4">
        <v>3</v>
      </c>
    </row>
    <row r="16" spans="1:15" s="49" customFormat="1" ht="18" customHeight="1" thickBot="1" x14ac:dyDescent="0.35">
      <c r="A16" s="4" t="s">
        <v>9</v>
      </c>
      <c r="B16" s="4" t="str">
        <f>IFERROR(VLOOKUP('Gr. E+'!C25,'Gr. E+'!$D$8:$E$13,2,0),"-")</f>
        <v>Hawkz</v>
      </c>
      <c r="C16" s="5" t="s">
        <v>19</v>
      </c>
      <c r="D16" s="4" t="str">
        <f>IFERROR(VLOOKUP('Gr. E+'!E25,'Gr. E+'!$D$8:$E$13,2,0),"-")</f>
        <v>DoTa</v>
      </c>
      <c r="E16" s="4">
        <v>4</v>
      </c>
      <c r="F16" s="5" t="s">
        <v>19</v>
      </c>
      <c r="G16" s="4">
        <v>1</v>
      </c>
      <c r="H16" s="6"/>
      <c r="I16" s="4" t="s">
        <v>29</v>
      </c>
      <c r="J16" s="4" t="str">
        <f>IFERROR(VLOOKUP('Gr. E+'!H25,'Gr. E+'!$D$8:$E$13,2,0),"-")</f>
        <v>DoTa</v>
      </c>
      <c r="K16" s="5" t="s">
        <v>19</v>
      </c>
      <c r="L16" s="4" t="str">
        <f>IFERROR(VLOOKUP('Gr. E+'!J25,'Gr. E+'!$D$8:$E$13,2,0),"-")</f>
        <v>Hawkz</v>
      </c>
      <c r="M16" s="4">
        <v>1</v>
      </c>
      <c r="N16" s="5" t="s">
        <v>19</v>
      </c>
      <c r="O16" s="4">
        <v>5</v>
      </c>
    </row>
    <row r="17" spans="1:15" s="49" customFormat="1" ht="18" customHeight="1" thickBot="1" x14ac:dyDescent="0.35">
      <c r="A17" s="4" t="s">
        <v>10</v>
      </c>
      <c r="B17" s="4" t="str">
        <f>IFERROR(VLOOKUP('Gr. E+'!C26,'Gr. E+'!$D$8:$E$13,2,0),"-")</f>
        <v>Hawkz</v>
      </c>
      <c r="C17" s="5" t="s">
        <v>19</v>
      </c>
      <c r="D17" s="4" t="str">
        <f>IFERROR(VLOOKUP('Gr. E+'!E26,'Gr. E+'!$D$8:$E$13,2,0),"-")</f>
        <v>Caniggia11</v>
      </c>
      <c r="E17" s="4">
        <v>4</v>
      </c>
      <c r="F17" s="5" t="s">
        <v>19</v>
      </c>
      <c r="G17" s="4">
        <v>1</v>
      </c>
      <c r="H17" s="6"/>
      <c r="I17" s="4" t="s">
        <v>30</v>
      </c>
      <c r="J17" s="4" t="str">
        <f>IFERROR(VLOOKUP('Gr. E+'!H26,'Gr. E+'!$D$8:$E$13,2,0),"-")</f>
        <v>Caniggia11</v>
      </c>
      <c r="K17" s="5" t="s">
        <v>19</v>
      </c>
      <c r="L17" s="4" t="str">
        <f>IFERROR(VLOOKUP('Gr. E+'!J26,'Gr. E+'!$D$8:$E$13,2,0),"-")</f>
        <v>Hawkz</v>
      </c>
      <c r="M17" s="4">
        <v>1</v>
      </c>
      <c r="N17" s="5" t="s">
        <v>19</v>
      </c>
      <c r="O17" s="4">
        <v>4</v>
      </c>
    </row>
    <row r="18" spans="1:15" s="49" customFormat="1" ht="18" customHeight="1" thickBot="1" x14ac:dyDescent="0.35">
      <c r="A18" s="4" t="s">
        <v>11</v>
      </c>
      <c r="B18" s="4" t="str">
        <f>IFERROR(VLOOKUP('Gr. E+'!C27,'Gr. E+'!$D$8:$E$13,2,0),"-")</f>
        <v>Hawkz</v>
      </c>
      <c r="C18" s="5" t="s">
        <v>19</v>
      </c>
      <c r="D18" s="4" t="str">
        <f>IFERROR(VLOOKUP('Gr. E+'!E27,'Gr. E+'!$D$8:$E$13,2,0),"-")</f>
        <v>Dior</v>
      </c>
      <c r="E18" s="4">
        <v>3</v>
      </c>
      <c r="F18" s="5" t="s">
        <v>19</v>
      </c>
      <c r="G18" s="4">
        <v>0</v>
      </c>
      <c r="H18" s="6"/>
      <c r="I18" s="4" t="s">
        <v>31</v>
      </c>
      <c r="J18" s="4" t="str">
        <f>IFERROR(VLOOKUP('Gr. E+'!H27,'Gr. E+'!$D$8:$E$13,2,0),"-")</f>
        <v>Dior</v>
      </c>
      <c r="K18" s="5" t="s">
        <v>19</v>
      </c>
      <c r="L18" s="4" t="str">
        <f>IFERROR(VLOOKUP('Gr. E+'!J27,'Gr. E+'!$D$8:$E$13,2,0),"-")</f>
        <v>Hawkz</v>
      </c>
      <c r="M18" s="4">
        <v>1</v>
      </c>
      <c r="N18" s="5" t="s">
        <v>19</v>
      </c>
      <c r="O18" s="4">
        <v>2</v>
      </c>
    </row>
    <row r="19" spans="1:15" s="49" customFormat="1" ht="18" customHeight="1" thickBot="1" x14ac:dyDescent="0.35">
      <c r="A19" s="4" t="s">
        <v>12</v>
      </c>
      <c r="B19" s="4" t="str">
        <f>IFERROR(VLOOKUP('Gr. E+'!C28,'Gr. E+'!$D$8:$E$13,2,0),"-")</f>
        <v>DoTa</v>
      </c>
      <c r="C19" s="5" t="s">
        <v>19</v>
      </c>
      <c r="D19" s="4" t="str">
        <f>IFERROR(VLOOKUP('Gr. E+'!E28,'Gr. E+'!$D$8:$E$13,2,0),"-")</f>
        <v>Caniggia11</v>
      </c>
      <c r="E19" s="4">
        <v>3</v>
      </c>
      <c r="F19" s="5" t="s">
        <v>19</v>
      </c>
      <c r="G19" s="4">
        <v>0</v>
      </c>
      <c r="H19" s="6"/>
      <c r="I19" s="4" t="s">
        <v>32</v>
      </c>
      <c r="J19" s="4" t="str">
        <f>IFERROR(VLOOKUP('Gr. E+'!H28,'Gr. E+'!$D$8:$E$13,2,0),"-")</f>
        <v>Caniggia11</v>
      </c>
      <c r="K19" s="5" t="s">
        <v>19</v>
      </c>
      <c r="L19" s="4" t="str">
        <f>IFERROR(VLOOKUP('Gr. E+'!J28,'Gr. E+'!$D$8:$E$13,2,0),"-")</f>
        <v>DoTa</v>
      </c>
      <c r="M19" s="4">
        <v>3</v>
      </c>
      <c r="N19" s="5" t="s">
        <v>19</v>
      </c>
      <c r="O19" s="4">
        <v>1</v>
      </c>
    </row>
    <row r="20" spans="1:15" s="49" customFormat="1" ht="18" customHeight="1" thickBot="1" x14ac:dyDescent="0.35">
      <c r="A20" s="4" t="s">
        <v>13</v>
      </c>
      <c r="B20" s="4" t="str">
        <f>IFERROR(VLOOKUP('Gr. E+'!C29,'Gr. E+'!$D$8:$E$13,2,0),"-")</f>
        <v>DoTa</v>
      </c>
      <c r="C20" s="5" t="s">
        <v>19</v>
      </c>
      <c r="D20" s="4" t="str">
        <f>IFERROR(VLOOKUP('Gr. E+'!E29,'Gr. E+'!$D$8:$E$13,2,0),"-")</f>
        <v>Dior</v>
      </c>
      <c r="E20" s="4">
        <v>0</v>
      </c>
      <c r="F20" s="5" t="s">
        <v>19</v>
      </c>
      <c r="G20" s="4">
        <v>4</v>
      </c>
      <c r="H20" s="6"/>
      <c r="I20" s="4" t="s">
        <v>33</v>
      </c>
      <c r="J20" s="4" t="str">
        <f>IFERROR(VLOOKUP('Gr. E+'!H29,'Gr. E+'!$D$8:$E$13,2,0),"-")</f>
        <v>Dior</v>
      </c>
      <c r="K20" s="5" t="s">
        <v>19</v>
      </c>
      <c r="L20" s="4" t="str">
        <f>IFERROR(VLOOKUP('Gr. E+'!J29,'Gr. E+'!$D$8:$E$13,2,0),"-")</f>
        <v>DoTa</v>
      </c>
      <c r="M20" s="4">
        <v>2</v>
      </c>
      <c r="N20" s="5" t="s">
        <v>19</v>
      </c>
      <c r="O20" s="4">
        <v>1</v>
      </c>
    </row>
    <row r="21" spans="1:15" s="49" customFormat="1" ht="18" customHeight="1" thickBot="1" x14ac:dyDescent="0.35">
      <c r="A21" s="4" t="s">
        <v>14</v>
      </c>
      <c r="B21" s="4" t="str">
        <f>IFERROR(VLOOKUP('Gr. E+'!C30,'Gr. E+'!$D$8:$E$13,2,0),"-")</f>
        <v>Caniggia11</v>
      </c>
      <c r="C21" s="5" t="s">
        <v>19</v>
      </c>
      <c r="D21" s="4" t="str">
        <f>IFERROR(VLOOKUP('Gr. E+'!E30,'Gr. E+'!$D$8:$E$13,2,0),"-")</f>
        <v>Dior</v>
      </c>
      <c r="E21" s="4">
        <v>1</v>
      </c>
      <c r="F21" s="5" t="s">
        <v>19</v>
      </c>
      <c r="G21" s="4">
        <v>2</v>
      </c>
      <c r="H21" s="6"/>
      <c r="I21" s="4" t="s">
        <v>34</v>
      </c>
      <c r="J21" s="4" t="str">
        <f>IFERROR(VLOOKUP('Gr. E+'!H30,'Gr. E+'!$D$8:$E$13,2,0),"-")</f>
        <v>Dior</v>
      </c>
      <c r="K21" s="5" t="s">
        <v>19</v>
      </c>
      <c r="L21" s="4" t="str">
        <f>IFERROR(VLOOKUP('Gr. E+'!J30,'Gr. E+'!$D$8:$E$13,2,0),"-")</f>
        <v>Caniggia11</v>
      </c>
      <c r="M21" s="4">
        <v>4</v>
      </c>
      <c r="N21" s="5" t="s">
        <v>19</v>
      </c>
      <c r="O21" s="4">
        <v>1</v>
      </c>
    </row>
  </sheetData>
  <mergeCells count="11">
    <mergeCell ref="B4:D4"/>
    <mergeCell ref="J4:L4"/>
    <mergeCell ref="E6:G6"/>
    <mergeCell ref="M6:O6"/>
    <mergeCell ref="B1:D1"/>
    <mergeCell ref="J1:L1"/>
    <mergeCell ref="B2:D2"/>
    <mergeCell ref="E2:I3"/>
    <mergeCell ref="J2:L2"/>
    <mergeCell ref="B3:D3"/>
    <mergeCell ref="J3:L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workbookViewId="0">
      <selection activeCell="A4" sqref="A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78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">
        <v>137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">
        <v>138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">
        <v>139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">
        <v>140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">
        <v>141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">
        <v>142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215" t="s">
        <v>18</v>
      </c>
      <c r="C15" s="215" t="s">
        <v>15</v>
      </c>
      <c r="D15" s="215"/>
      <c r="E15" s="215" t="s">
        <v>16</v>
      </c>
      <c r="F15" s="3"/>
      <c r="G15" s="215" t="s">
        <v>18</v>
      </c>
      <c r="H15" s="215" t="s">
        <v>15</v>
      </c>
      <c r="I15" s="215"/>
      <c r="J15" s="215" t="s">
        <v>16</v>
      </c>
    </row>
    <row r="16" spans="2:10" ht="16.2" thickBot="1" x14ac:dyDescent="0.35">
      <c r="B16" s="4" t="s">
        <v>0</v>
      </c>
      <c r="C16" s="4">
        <v>1</v>
      </c>
      <c r="D16" s="5" t="s">
        <v>19</v>
      </c>
      <c r="E16" s="4">
        <v>2</v>
      </c>
      <c r="F16" s="6"/>
      <c r="G16" s="4" t="s">
        <v>20</v>
      </c>
      <c r="H16" s="4">
        <v>2</v>
      </c>
      <c r="I16" s="5" t="s">
        <v>19</v>
      </c>
      <c r="J16" s="4">
        <v>1</v>
      </c>
    </row>
    <row r="17" spans="2:10" ht="16.2" thickBot="1" x14ac:dyDescent="0.35">
      <c r="B17" s="4" t="s">
        <v>1</v>
      </c>
      <c r="C17" s="4">
        <v>1</v>
      </c>
      <c r="D17" s="5" t="s">
        <v>19</v>
      </c>
      <c r="E17" s="4">
        <v>3</v>
      </c>
      <c r="F17" s="6"/>
      <c r="G17" s="4" t="s">
        <v>21</v>
      </c>
      <c r="H17" s="4">
        <v>3</v>
      </c>
      <c r="I17" s="5" t="s">
        <v>19</v>
      </c>
      <c r="J17" s="4">
        <v>1</v>
      </c>
    </row>
    <row r="18" spans="2:10" ht="16.2" thickBot="1" x14ac:dyDescent="0.35">
      <c r="B18" s="4" t="s">
        <v>2</v>
      </c>
      <c r="C18" s="4">
        <v>1</v>
      </c>
      <c r="D18" s="5" t="s">
        <v>19</v>
      </c>
      <c r="E18" s="4">
        <v>4</v>
      </c>
      <c r="F18" s="6"/>
      <c r="G18" s="4" t="s">
        <v>22</v>
      </c>
      <c r="H18" s="4">
        <v>4</v>
      </c>
      <c r="I18" s="5" t="s">
        <v>19</v>
      </c>
      <c r="J18" s="4">
        <v>1</v>
      </c>
    </row>
    <row r="19" spans="2:10" ht="16.2" thickBot="1" x14ac:dyDescent="0.35">
      <c r="B19" s="4" t="s">
        <v>3</v>
      </c>
      <c r="C19" s="4">
        <v>1</v>
      </c>
      <c r="D19" s="5" t="s">
        <v>19</v>
      </c>
      <c r="E19" s="4">
        <v>5</v>
      </c>
      <c r="F19" s="6"/>
      <c r="G19" s="4" t="s">
        <v>23</v>
      </c>
      <c r="H19" s="4">
        <v>5</v>
      </c>
      <c r="I19" s="5" t="s">
        <v>19</v>
      </c>
      <c r="J19" s="4">
        <v>1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6</v>
      </c>
      <c r="F20" s="6"/>
      <c r="G20" s="4" t="s">
        <v>24</v>
      </c>
      <c r="H20" s="4">
        <v>6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2</v>
      </c>
      <c r="D21" s="5" t="s">
        <v>19</v>
      </c>
      <c r="E21" s="4">
        <v>3</v>
      </c>
      <c r="F21" s="6"/>
      <c r="G21" s="4" t="s">
        <v>25</v>
      </c>
      <c r="H21" s="4">
        <v>3</v>
      </c>
      <c r="I21" s="5" t="s">
        <v>19</v>
      </c>
      <c r="J21" s="4">
        <v>2</v>
      </c>
    </row>
    <row r="22" spans="2:10" ht="16.2" thickBot="1" x14ac:dyDescent="0.35">
      <c r="B22" s="4" t="s">
        <v>6</v>
      </c>
      <c r="C22" s="4">
        <v>2</v>
      </c>
      <c r="D22" s="5" t="s">
        <v>19</v>
      </c>
      <c r="E22" s="4">
        <v>4</v>
      </c>
      <c r="F22" s="6"/>
      <c r="G22" s="4" t="s">
        <v>26</v>
      </c>
      <c r="H22" s="4">
        <v>4</v>
      </c>
      <c r="I22" s="5" t="s">
        <v>19</v>
      </c>
      <c r="J22" s="4">
        <v>2</v>
      </c>
    </row>
    <row r="23" spans="2:10" ht="16.2" thickBot="1" x14ac:dyDescent="0.35">
      <c r="B23" s="4" t="s">
        <v>7</v>
      </c>
      <c r="C23" s="4">
        <v>2</v>
      </c>
      <c r="D23" s="5" t="s">
        <v>19</v>
      </c>
      <c r="E23" s="4">
        <v>5</v>
      </c>
      <c r="F23" s="6"/>
      <c r="G23" s="4" t="s">
        <v>27</v>
      </c>
      <c r="H23" s="4">
        <v>5</v>
      </c>
      <c r="I23" s="5" t="s">
        <v>19</v>
      </c>
      <c r="J23" s="4">
        <v>2</v>
      </c>
    </row>
    <row r="24" spans="2:10" ht="16.2" thickBot="1" x14ac:dyDescent="0.35">
      <c r="B24" s="4" t="s">
        <v>8</v>
      </c>
      <c r="C24" s="4">
        <v>2</v>
      </c>
      <c r="D24" s="5" t="s">
        <v>19</v>
      </c>
      <c r="E24" s="4">
        <v>6</v>
      </c>
      <c r="F24" s="6"/>
      <c r="G24" s="4" t="s">
        <v>28</v>
      </c>
      <c r="H24" s="4">
        <v>6</v>
      </c>
      <c r="I24" s="5" t="s">
        <v>19</v>
      </c>
      <c r="J24" s="4">
        <v>2</v>
      </c>
    </row>
    <row r="25" spans="2:10" ht="16.2" thickBot="1" x14ac:dyDescent="0.35">
      <c r="B25" s="4" t="s">
        <v>9</v>
      </c>
      <c r="C25" s="4">
        <v>3</v>
      </c>
      <c r="D25" s="5" t="s">
        <v>19</v>
      </c>
      <c r="E25" s="4">
        <v>4</v>
      </c>
      <c r="F25" s="6"/>
      <c r="G25" s="4" t="s">
        <v>29</v>
      </c>
      <c r="H25" s="4">
        <v>4</v>
      </c>
      <c r="I25" s="5" t="s">
        <v>19</v>
      </c>
      <c r="J25" s="4">
        <v>3</v>
      </c>
    </row>
    <row r="26" spans="2:10" ht="16.2" thickBot="1" x14ac:dyDescent="0.35">
      <c r="B26" s="4" t="s">
        <v>10</v>
      </c>
      <c r="C26" s="4">
        <v>3</v>
      </c>
      <c r="D26" s="5" t="s">
        <v>19</v>
      </c>
      <c r="E26" s="4">
        <v>5</v>
      </c>
      <c r="F26" s="6"/>
      <c r="G26" s="4" t="s">
        <v>30</v>
      </c>
      <c r="H26" s="4">
        <v>5</v>
      </c>
      <c r="I26" s="5" t="s">
        <v>19</v>
      </c>
      <c r="J26" s="4">
        <v>3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6</v>
      </c>
      <c r="F27" s="6"/>
      <c r="G27" s="4" t="s">
        <v>31</v>
      </c>
      <c r="H27" s="4">
        <v>6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4</v>
      </c>
      <c r="D28" s="5" t="s">
        <v>19</v>
      </c>
      <c r="E28" s="4">
        <v>5</v>
      </c>
      <c r="F28" s="6"/>
      <c r="G28" s="4" t="s">
        <v>32</v>
      </c>
      <c r="H28" s="4">
        <v>5</v>
      </c>
      <c r="I28" s="5" t="s">
        <v>19</v>
      </c>
      <c r="J28" s="4">
        <v>4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6</v>
      </c>
      <c r="F29" s="6"/>
      <c r="G29" s="4" t="s">
        <v>33</v>
      </c>
      <c r="H29" s="4">
        <v>6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5</v>
      </c>
      <c r="D30" s="5" t="s">
        <v>19</v>
      </c>
      <c r="E30" s="4">
        <v>6</v>
      </c>
      <c r="F30" s="6"/>
      <c r="G30" s="4" t="s">
        <v>34</v>
      </c>
      <c r="H30" s="4">
        <v>6</v>
      </c>
      <c r="I30" s="5" t="s">
        <v>19</v>
      </c>
      <c r="J30" s="4">
        <v>5</v>
      </c>
    </row>
  </sheetData>
  <mergeCells count="8">
    <mergeCell ref="E12:H12"/>
    <mergeCell ref="E13:H13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/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'Gr. E+'!D2</f>
        <v>Group E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Playaveli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9</v>
      </c>
      <c r="V3" s="21">
        <f t="array" ref="V3">SUM((home=S3)*(homescore=visitorscore)*ISNUMBER(visitorscore),(visitor=S3)*(visitorscore=homescore)*ISNUMBER(homescore))</f>
        <v>1</v>
      </c>
      <c r="W3" s="21">
        <f t="array" ref="W3">SUM((home=S3)*(homescore&lt;visitorscore),(visitor=S3)*(visitorscore&lt;homescore))</f>
        <v>0</v>
      </c>
      <c r="X3" s="32">
        <f t="shared" ref="X3" si="1">SUMIF(home,S3,homescore)+SUMIF(visitor,S3,visitorscore)</f>
        <v>35</v>
      </c>
      <c r="Y3" s="33">
        <f t="shared" ref="Y3" si="2">SUMIF(home,S3,visitorscore)+SUMIF(visitor,S3,homescore)</f>
        <v>6</v>
      </c>
      <c r="Z3" s="34">
        <f>X3-Y3</f>
        <v>29</v>
      </c>
      <c r="AA3" s="32">
        <f>U3*3+V3</f>
        <v>28</v>
      </c>
      <c r="AB3" s="20">
        <f>X3+Z3*10000+AA3*1000000000</f>
        <v>28000290035</v>
      </c>
    </row>
    <row r="4" spans="1:28" x14ac:dyDescent="0.3">
      <c r="A4" s="35" t="str">
        <f>'Gr. E+'!E8</f>
        <v>Playaveli</v>
      </c>
      <c r="B4" s="19"/>
      <c r="C4" s="19"/>
      <c r="S4" s="36" t="str">
        <f t="shared" si="0"/>
        <v>Foka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5</v>
      </c>
      <c r="V4" s="21">
        <f t="array" ref="V4">SUM((home=S4)*(homescore=visitorscore)*ISNUMBER(visitorscore),(visitor=S4)*(visitorscore=homescore)*ISNUMBER(homescore))</f>
        <v>1</v>
      </c>
      <c r="W4" s="21">
        <f t="array" ref="W4">SUM((home=S4)*(homescore&lt;visitorscore),(visitor=S4)*(visitorscore&lt;homescore))</f>
        <v>4</v>
      </c>
      <c r="X4" s="32">
        <f t="shared" ref="X4" si="3">SUMIF(home,S4,homescore)+SUMIF(visitor,S4,visitorscore)</f>
        <v>22</v>
      </c>
      <c r="Y4" s="33">
        <f t="shared" ref="Y4" si="4">SUMIF(home,S4,visitorscore)+SUMIF(visitor,S4,homescore)</f>
        <v>19</v>
      </c>
      <c r="Z4" s="34">
        <f t="shared" ref="Z4:Z8" si="5">X4-Y4</f>
        <v>3</v>
      </c>
      <c r="AA4" s="32">
        <f t="shared" ref="AA4:AA8" si="6">U4*3+V4</f>
        <v>16</v>
      </c>
      <c r="AB4" s="20">
        <f t="shared" ref="AB4:AB8" si="7">X4+Z4*10000+AA4*1000000000</f>
        <v>16000030022</v>
      </c>
    </row>
    <row r="5" spans="1:28" x14ac:dyDescent="0.3">
      <c r="A5" s="35" t="str">
        <f>'Gr. E+'!E9</f>
        <v>Foka</v>
      </c>
      <c r="B5" s="19"/>
      <c r="C5" s="19"/>
      <c r="S5" s="36" t="str">
        <f t="shared" si="0"/>
        <v>Hawkz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7</v>
      </c>
      <c r="V5" s="21">
        <f t="array" ref="V5">SUM((home=S5)*(homescore=visitorscore)*ISNUMBER(visitorscore),(visitor=S5)*(visitorscore=homescore)*ISNUMBER(homescore))</f>
        <v>1</v>
      </c>
      <c r="W5" s="21">
        <f t="array" ref="W5">SUM((home=S5)*(homescore&lt;visitorscore),(visitor=S5)*(visitorscore&lt;homescore))</f>
        <v>2</v>
      </c>
      <c r="X5" s="32">
        <f t="shared" ref="X5" si="8">SUMIF(home,S5,homescore)+SUMIF(visitor,S5,visitorscore)</f>
        <v>30</v>
      </c>
      <c r="Y5" s="33">
        <f t="shared" ref="Y5" si="9">SUMIF(home,S5,visitorscore)+SUMIF(visitor,S5,homescore)</f>
        <v>15</v>
      </c>
      <c r="Z5" s="34">
        <f t="shared" si="5"/>
        <v>15</v>
      </c>
      <c r="AA5" s="32">
        <f t="shared" si="6"/>
        <v>22</v>
      </c>
      <c r="AB5" s="20">
        <f t="shared" si="7"/>
        <v>22000150030</v>
      </c>
    </row>
    <row r="6" spans="1:28" x14ac:dyDescent="0.3">
      <c r="A6" s="35" t="str">
        <f>'Gr. E+'!E10</f>
        <v>Hawkz</v>
      </c>
      <c r="B6" s="19"/>
      <c r="C6" s="19"/>
      <c r="S6" s="36" t="str">
        <f t="shared" si="0"/>
        <v>DoTa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2</v>
      </c>
      <c r="V6" s="21">
        <f t="array" ref="V6">SUM((home=S6)*(homescore=visitorscore)*ISNUMBER(visitorscore),(visitor=S6)*(visitorscore=homescore)*ISNUMBER(homescore))</f>
        <v>0</v>
      </c>
      <c r="W6" s="21">
        <f t="array" ref="W6">SUM((home=S6)*(homescore&lt;visitorscore),(visitor=S6)*(visitorscore&lt;homescore))</f>
        <v>8</v>
      </c>
      <c r="X6" s="32">
        <f t="shared" ref="X6" si="10">SUMIF(home,S6,homescore)+SUMIF(visitor,S6,visitorscore)</f>
        <v>13</v>
      </c>
      <c r="Y6" s="33">
        <f t="shared" ref="Y6" si="11">SUMIF(home,S6,visitorscore)+SUMIF(visitor,S6,homescore)</f>
        <v>30</v>
      </c>
      <c r="Z6" s="34">
        <f t="shared" si="5"/>
        <v>-17</v>
      </c>
      <c r="AA6" s="32">
        <f t="shared" si="6"/>
        <v>6</v>
      </c>
      <c r="AB6" s="20">
        <f t="shared" si="7"/>
        <v>5999830013</v>
      </c>
    </row>
    <row r="7" spans="1:28" x14ac:dyDescent="0.3">
      <c r="A7" s="35" t="str">
        <f>'Gr. E+'!E11</f>
        <v>DoTa</v>
      </c>
      <c r="B7" s="19"/>
      <c r="C7" s="19"/>
      <c r="S7" s="37" t="str">
        <f t="shared" si="0"/>
        <v>Caniggia11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1</v>
      </c>
      <c r="V7" s="21">
        <f t="array" ref="V7">SUM((home=S7)*(homescore=visitorscore)*ISNUMBER(visitorscore),(visitor=S7)*(visitorscore=homescore)*ISNUMBER(homescore))</f>
        <v>0</v>
      </c>
      <c r="W7" s="21">
        <f t="array" ref="W7">SUM((home=S7)*(homescore&lt;visitorscore),(visitor=S7)*(visitorscore&lt;homescore))</f>
        <v>9</v>
      </c>
      <c r="X7" s="32">
        <f t="shared" ref="X7" si="12">SUMIF(home,S7,homescore)+SUMIF(visitor,S7,visitorscore)</f>
        <v>9</v>
      </c>
      <c r="Y7" s="33">
        <f t="shared" ref="Y7" si="13">SUMIF(home,S7,visitorscore)+SUMIF(visitor,S7,homescore)</f>
        <v>35</v>
      </c>
      <c r="Z7" s="34">
        <f t="shared" si="5"/>
        <v>-26</v>
      </c>
      <c r="AA7" s="32">
        <f t="shared" si="6"/>
        <v>3</v>
      </c>
      <c r="AB7" s="20">
        <f t="shared" si="7"/>
        <v>2999740009</v>
      </c>
    </row>
    <row r="8" spans="1:28" x14ac:dyDescent="0.3">
      <c r="A8" s="35" t="str">
        <f>'Gr. E+'!E12</f>
        <v>Caniggia11</v>
      </c>
      <c r="B8" s="19"/>
      <c r="C8" s="19"/>
      <c r="S8" s="37" t="str">
        <f t="shared" si="0"/>
        <v>Dior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4</v>
      </c>
      <c r="V8" s="21">
        <f t="array" ref="V8">SUM((home=S8)*(homescore=visitorscore)*ISNUMBER(visitorscore),(visitor=S8)*(visitorscore=homescore)*ISNUMBER(homescore))</f>
        <v>1</v>
      </c>
      <c r="W8" s="21">
        <f t="array" ref="W8">SUM((home=S8)*(homescore&lt;visitorscore),(visitor=S8)*(visitorscore&lt;homescore))</f>
        <v>5</v>
      </c>
      <c r="X8" s="32">
        <f t="shared" ref="X8" si="14">SUMIF(home,S8,homescore)+SUMIF(visitor,S8,visitorscore)</f>
        <v>16</v>
      </c>
      <c r="Y8" s="33">
        <f t="shared" ref="Y8" si="15">SUMIF(home,S8,visitorscore)+SUMIF(visitor,S8,homescore)</f>
        <v>20</v>
      </c>
      <c r="Z8" s="34">
        <f t="shared" si="5"/>
        <v>-4</v>
      </c>
      <c r="AA8" s="32">
        <f t="shared" si="6"/>
        <v>13</v>
      </c>
      <c r="AB8" s="20">
        <f t="shared" si="7"/>
        <v>12999960016</v>
      </c>
    </row>
    <row r="9" spans="1:28" x14ac:dyDescent="0.3">
      <c r="A9" s="35" t="str">
        <f>'Gr. E+'!E13</f>
        <v>Dior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'Gr. E'!B7</f>
        <v>Playaveli</v>
      </c>
      <c r="B13" s="39" t="str">
        <f>'Gr. E'!D7</f>
        <v>Foka</v>
      </c>
      <c r="C13" s="40">
        <f>IF('Gr. E'!E7="","",'Gr. E'!E7)</f>
        <v>3</v>
      </c>
      <c r="D13" s="40" t="s">
        <v>64</v>
      </c>
      <c r="E13" s="40">
        <f>IF('Gr. E'!G7="","",'Gr. E'!G7)</f>
        <v>0</v>
      </c>
      <c r="F13" s="34"/>
    </row>
    <row r="14" spans="1:28" x14ac:dyDescent="0.3">
      <c r="A14" s="39" t="str">
        <f>'Gr. E'!B8</f>
        <v>Playaveli</v>
      </c>
      <c r="B14" s="39" t="str">
        <f>'Gr. E'!D8</f>
        <v>Hawkz</v>
      </c>
      <c r="C14" s="40">
        <f>IF('Gr. E'!E8="","",'Gr. E'!E8)</f>
        <v>3</v>
      </c>
      <c r="D14" s="40" t="s">
        <v>64</v>
      </c>
      <c r="E14" s="40">
        <f>IF('Gr. E'!G8="","",'Gr. E'!G8)</f>
        <v>0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'Gr. E'!B9</f>
        <v>Playaveli</v>
      </c>
      <c r="B15" s="39" t="str">
        <f>'Gr. E'!D9</f>
        <v>DoTa</v>
      </c>
      <c r="C15" s="40">
        <f>IF('Gr. E'!E9="","",'Gr. E'!E9)</f>
        <v>2</v>
      </c>
      <c r="D15" s="40" t="s">
        <v>64</v>
      </c>
      <c r="E15" s="40">
        <f>IF('Gr. E'!G9="","",'Gr. E'!G9)</f>
        <v>1</v>
      </c>
      <c r="F15" s="34"/>
      <c r="H15" s="42" t="str">
        <f t="array" ref="H15">INDEX($S$3:$S$8,MATCH(LARGE($AB$3:$AB$8-ROW($AB$3:$AB$8)/COUNT($AB$3:$AB$8),ROW(H15)-ROW(H$15)+1),$AB$3:$AB$8-ROW($AB$3:$AB$8)/COUNT($AB$3:$AB$8),0))</f>
        <v>Playaveli</v>
      </c>
      <c r="I15" s="33">
        <f t="shared" ref="I15:I20" si="16">VLOOKUP($H15,$S$3:$AA$8,2,0)</f>
        <v>10</v>
      </c>
      <c r="J15" s="21">
        <f t="shared" ref="J15:J20" si="17">VLOOKUP($H15,$S$3:$AA$8,3,0)</f>
        <v>9</v>
      </c>
      <c r="K15" s="21">
        <f t="shared" ref="K15:K20" si="18">VLOOKUP($H15,$S$3:$AA$8,4,0)</f>
        <v>1</v>
      </c>
      <c r="L15" s="21">
        <f t="shared" ref="L15:L20" si="19">VLOOKUP($H15,$S$3:$AA$8,5,0)</f>
        <v>0</v>
      </c>
      <c r="M15" s="32">
        <f t="shared" ref="M15:M20" si="20">VLOOKUP($H15,$S$3:$AA$8,6,0)</f>
        <v>35</v>
      </c>
      <c r="N15" s="33">
        <f t="shared" ref="N15:N20" si="21">VLOOKUP($H15,$S$3:$AA$8,7,0)</f>
        <v>6</v>
      </c>
      <c r="O15" s="21">
        <f t="shared" ref="O15:O20" si="22">VLOOKUP($H15,$S$3:$AA$8,8,0)</f>
        <v>29</v>
      </c>
      <c r="P15" s="32">
        <f t="shared" ref="P15:P20" si="23">VLOOKUP($H15,$S$3:$AA$8,9,0)</f>
        <v>28</v>
      </c>
      <c r="Q15" s="21">
        <f>VLOOKUP(H15,'Master+'!$E$8:$H$15,3,0)</f>
        <v>0</v>
      </c>
    </row>
    <row r="16" spans="1:28" x14ac:dyDescent="0.3">
      <c r="A16" s="39" t="str">
        <f>'Gr. E'!B10</f>
        <v>Playaveli</v>
      </c>
      <c r="B16" s="39" t="str">
        <f>'Gr. E'!D10</f>
        <v>Caniggia11</v>
      </c>
      <c r="C16" s="40">
        <f>IF('Gr. E'!E10="","",'Gr. E'!E10)</f>
        <v>4</v>
      </c>
      <c r="D16" s="40" t="s">
        <v>64</v>
      </c>
      <c r="E16" s="40">
        <f>IF('Gr. E'!G10="","",'Gr. E'!G10)</f>
        <v>1</v>
      </c>
      <c r="F16" s="34"/>
      <c r="H16" s="42" t="str">
        <f t="array" ref="H16">INDEX($S$3:$S$8,MATCH(LARGE($AB$3:$AB$8-ROW($AB$3:$AB$8)/COUNT($AB$3:$AB$8),ROW(H16)-ROW(H$15)+1),$AB$3:$AB$8-ROW($AB$3:$AB$8)/COUNT($AB$3:$AB$8),0))</f>
        <v>Hawkz</v>
      </c>
      <c r="I16" s="33">
        <f t="shared" si="16"/>
        <v>10</v>
      </c>
      <c r="J16" s="21">
        <f t="shared" si="17"/>
        <v>7</v>
      </c>
      <c r="K16" s="21">
        <f t="shared" si="18"/>
        <v>1</v>
      </c>
      <c r="L16" s="21">
        <f t="shared" si="19"/>
        <v>2</v>
      </c>
      <c r="M16" s="32">
        <f t="shared" si="20"/>
        <v>30</v>
      </c>
      <c r="N16" s="33">
        <f t="shared" si="21"/>
        <v>15</v>
      </c>
      <c r="O16" s="21">
        <f t="shared" si="22"/>
        <v>15</v>
      </c>
      <c r="P16" s="32">
        <f t="shared" si="23"/>
        <v>22</v>
      </c>
      <c r="Q16" s="21" t="e">
        <f>VLOOKUP(H16,'Master+'!$E$8:$H$15,3,0)</f>
        <v>#N/A</v>
      </c>
    </row>
    <row r="17" spans="1:17" x14ac:dyDescent="0.3">
      <c r="A17" s="39" t="str">
        <f>'Gr. E'!B11</f>
        <v>Playaveli</v>
      </c>
      <c r="B17" s="39" t="str">
        <f>'Gr. E'!D11</f>
        <v>Dior</v>
      </c>
      <c r="C17" s="40">
        <f>IF('Gr. E'!E11="","",'Gr. E'!E11)</f>
        <v>5</v>
      </c>
      <c r="D17" s="40" t="s">
        <v>64</v>
      </c>
      <c r="E17" s="40">
        <f>IF('Gr. E'!G11="","",'Gr. E'!G11)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Foka</v>
      </c>
      <c r="I17" s="33">
        <f t="shared" si="16"/>
        <v>10</v>
      </c>
      <c r="J17" s="21">
        <f t="shared" si="17"/>
        <v>5</v>
      </c>
      <c r="K17" s="21">
        <f t="shared" si="18"/>
        <v>1</v>
      </c>
      <c r="L17" s="21">
        <f t="shared" si="19"/>
        <v>4</v>
      </c>
      <c r="M17" s="32">
        <f t="shared" si="20"/>
        <v>22</v>
      </c>
      <c r="N17" s="33">
        <f t="shared" si="21"/>
        <v>19</v>
      </c>
      <c r="O17" s="21">
        <f t="shared" si="22"/>
        <v>3</v>
      </c>
      <c r="P17" s="32">
        <f t="shared" si="23"/>
        <v>16</v>
      </c>
      <c r="Q17" s="21" t="e">
        <f>VLOOKUP(H17,'Master+'!$E$8:$H$15,3,0)</f>
        <v>#N/A</v>
      </c>
    </row>
    <row r="18" spans="1:17" x14ac:dyDescent="0.3">
      <c r="A18" s="39" t="str">
        <f>'Gr. E'!B12</f>
        <v>Foka</v>
      </c>
      <c r="B18" s="39" t="str">
        <f>'Gr. E'!D12</f>
        <v>Hawkz</v>
      </c>
      <c r="C18" s="40">
        <f>IF('Gr. E'!E12="","",'Gr. E'!E12)</f>
        <v>2</v>
      </c>
      <c r="D18" s="40" t="s">
        <v>64</v>
      </c>
      <c r="E18" s="40">
        <f>IF('Gr. E'!G12="","",'Gr. E'!G12)</f>
        <v>5</v>
      </c>
      <c r="F18" s="34"/>
      <c r="H18" s="42" t="str">
        <f t="array" ref="H18">INDEX($S$3:$S$8,MATCH(LARGE($AB$3:$AB$8-ROW($AB$3:$AB$8)/COUNT($AB$3:$AB$8),ROW(H18)-ROW(H$15)+1),$AB$3:$AB$8-ROW($AB$3:$AB$8)/COUNT($AB$3:$AB$8),0))</f>
        <v>Dior</v>
      </c>
      <c r="I18" s="33">
        <f t="shared" si="16"/>
        <v>10</v>
      </c>
      <c r="J18" s="21">
        <f t="shared" si="17"/>
        <v>4</v>
      </c>
      <c r="K18" s="21">
        <f t="shared" si="18"/>
        <v>1</v>
      </c>
      <c r="L18" s="21">
        <f t="shared" si="19"/>
        <v>5</v>
      </c>
      <c r="M18" s="32">
        <f t="shared" si="20"/>
        <v>16</v>
      </c>
      <c r="N18" s="33">
        <f t="shared" si="21"/>
        <v>20</v>
      </c>
      <c r="O18" s="21">
        <f t="shared" si="22"/>
        <v>-4</v>
      </c>
      <c r="P18" s="32">
        <f t="shared" si="23"/>
        <v>13</v>
      </c>
      <c r="Q18" s="21" t="e">
        <f>VLOOKUP(H18,'Master+'!$E$8:$H$15,3,0)</f>
        <v>#N/A</v>
      </c>
    </row>
    <row r="19" spans="1:17" x14ac:dyDescent="0.3">
      <c r="A19" s="39" t="str">
        <f>'Gr. E'!B13</f>
        <v>Foka</v>
      </c>
      <c r="B19" s="39" t="str">
        <f>'Gr. E'!D13</f>
        <v>DoTa</v>
      </c>
      <c r="C19" s="40">
        <f>IF('Gr. E'!E13="","",'Gr. E'!E13)</f>
        <v>4</v>
      </c>
      <c r="D19" s="40" t="s">
        <v>64</v>
      </c>
      <c r="E19" s="40">
        <f>IF('Gr. E'!G13="","",'Gr. E'!G13)</f>
        <v>3</v>
      </c>
      <c r="H19" s="42" t="str">
        <f t="array" ref="H19">INDEX($S$3:$S$8,MATCH(LARGE($AB$3:$AB$8-ROW($AB$3:$AB$8)/COUNT($AB$3:$AB$8),ROW(H19)-ROW(H$15)+1),$AB$3:$AB$8-ROW($AB$3:$AB$8)/COUNT($AB$3:$AB$8),0))</f>
        <v>DoTa</v>
      </c>
      <c r="I19" s="33">
        <f t="shared" si="16"/>
        <v>10</v>
      </c>
      <c r="J19" s="21">
        <f t="shared" si="17"/>
        <v>2</v>
      </c>
      <c r="K19" s="21">
        <f t="shared" si="18"/>
        <v>0</v>
      </c>
      <c r="L19" s="21">
        <f t="shared" si="19"/>
        <v>8</v>
      </c>
      <c r="M19" s="32">
        <f t="shared" si="20"/>
        <v>13</v>
      </c>
      <c r="N19" s="33">
        <f t="shared" si="21"/>
        <v>30</v>
      </c>
      <c r="O19" s="21">
        <f t="shared" si="22"/>
        <v>-17</v>
      </c>
      <c r="P19" s="32">
        <f t="shared" si="23"/>
        <v>6</v>
      </c>
      <c r="Q19" s="21" t="e">
        <f>VLOOKUP(H19,'Master+'!$E$8:$H$15,3,0)</f>
        <v>#N/A</v>
      </c>
    </row>
    <row r="20" spans="1:17" x14ac:dyDescent="0.3">
      <c r="A20" s="39" t="str">
        <f>'Gr. E'!B14</f>
        <v>Foka</v>
      </c>
      <c r="B20" s="39" t="str">
        <f>'Gr. E'!D14</f>
        <v>Caniggia11</v>
      </c>
      <c r="C20" s="40">
        <f>IF('Gr. E'!E14="","",'Gr. E'!E14)</f>
        <v>2</v>
      </c>
      <c r="D20" s="40" t="s">
        <v>64</v>
      </c>
      <c r="E20" s="40">
        <f>IF('Gr. E'!G14="","",'Gr. E'!G14)</f>
        <v>0</v>
      </c>
      <c r="H20" s="42" t="str">
        <f t="array" ref="H20">INDEX($S$3:$S$8,MATCH(LARGE($AB$3:$AB$8-ROW($AB$3:$AB$8)/COUNT($AB$3:$AB$8),ROW(H20)-ROW(H$15)+1),$AB$3:$AB$8-ROW($AB$3:$AB$8)/COUNT($AB$3:$AB$8),0))</f>
        <v>Caniggia11</v>
      </c>
      <c r="I20" s="33">
        <f t="shared" si="16"/>
        <v>10</v>
      </c>
      <c r="J20" s="21">
        <f t="shared" si="17"/>
        <v>1</v>
      </c>
      <c r="K20" s="21">
        <f t="shared" si="18"/>
        <v>0</v>
      </c>
      <c r="L20" s="21">
        <f t="shared" si="19"/>
        <v>9</v>
      </c>
      <c r="M20" s="32">
        <f t="shared" si="20"/>
        <v>9</v>
      </c>
      <c r="N20" s="33">
        <f t="shared" si="21"/>
        <v>35</v>
      </c>
      <c r="O20" s="21">
        <f t="shared" si="22"/>
        <v>-26</v>
      </c>
      <c r="P20" s="32">
        <f t="shared" si="23"/>
        <v>3</v>
      </c>
      <c r="Q20" s="21" t="e">
        <f>VLOOKUP(H20,'Master+'!$E$8:$H$15,3,0)</f>
        <v>#N/A</v>
      </c>
    </row>
    <row r="21" spans="1:17" x14ac:dyDescent="0.3">
      <c r="A21" s="39" t="str">
        <f>'Gr. E'!B15</f>
        <v>Foka</v>
      </c>
      <c r="B21" s="39" t="str">
        <f>'Gr. E'!D15</f>
        <v>Dior</v>
      </c>
      <c r="C21" s="40">
        <f>IF('Gr. E'!E15="","",'Gr. E'!E15)</f>
        <v>3</v>
      </c>
      <c r="D21" s="40" t="s">
        <v>64</v>
      </c>
      <c r="E21" s="40">
        <f>IF('Gr. E'!G15="","",'Gr. E'!G15)</f>
        <v>1</v>
      </c>
      <c r="Q21" s="21"/>
    </row>
    <row r="22" spans="1:17" x14ac:dyDescent="0.3">
      <c r="A22" s="39" t="str">
        <f>'Gr. E'!B16</f>
        <v>Hawkz</v>
      </c>
      <c r="B22" s="39" t="str">
        <f>'Gr. E'!D16</f>
        <v>DoTa</v>
      </c>
      <c r="C22" s="40">
        <f>IF('Gr. E'!E16="","",'Gr. E'!E16)</f>
        <v>4</v>
      </c>
      <c r="D22" s="40" t="s">
        <v>64</v>
      </c>
      <c r="E22" s="40">
        <f>IF('Gr. E'!G16="","",'Gr. E'!G16)</f>
        <v>1</v>
      </c>
      <c r="Q22" s="21"/>
    </row>
    <row r="23" spans="1:17" x14ac:dyDescent="0.3">
      <c r="A23" s="39" t="str">
        <f>'Gr. E'!B17</f>
        <v>Hawkz</v>
      </c>
      <c r="B23" s="39" t="str">
        <f>'Gr. E'!D17</f>
        <v>Caniggia11</v>
      </c>
      <c r="C23" s="40">
        <f>IF('Gr. E'!E17="","",'Gr. E'!E17)</f>
        <v>4</v>
      </c>
      <c r="D23" s="40" t="s">
        <v>64</v>
      </c>
      <c r="E23" s="40">
        <f>IF('Gr. E'!G17="","",'Gr. E'!G17)</f>
        <v>1</v>
      </c>
    </row>
    <row r="24" spans="1:17" x14ac:dyDescent="0.3">
      <c r="A24" s="39" t="str">
        <f>'Gr. E'!B18</f>
        <v>Hawkz</v>
      </c>
      <c r="B24" s="39" t="str">
        <f>'Gr. E'!D18</f>
        <v>Dior</v>
      </c>
      <c r="C24" s="40">
        <f>IF('Gr. E'!E18="","",'Gr. E'!E18)</f>
        <v>3</v>
      </c>
      <c r="D24" s="40" t="s">
        <v>64</v>
      </c>
      <c r="E24" s="40">
        <f>IF('Gr. E'!G18="","",'Gr. E'!G18)</f>
        <v>0</v>
      </c>
    </row>
    <row r="25" spans="1:17" x14ac:dyDescent="0.3">
      <c r="A25" s="39" t="str">
        <f>'Gr. E'!B19</f>
        <v>DoTa</v>
      </c>
      <c r="B25" s="39" t="str">
        <f>'Gr. E'!D19</f>
        <v>Caniggia11</v>
      </c>
      <c r="C25" s="40">
        <f>IF('Gr. E'!E19="","",'Gr. E'!E19)</f>
        <v>3</v>
      </c>
      <c r="D25" s="40" t="s">
        <v>64</v>
      </c>
      <c r="E25" s="40">
        <f>IF('Gr. E'!G19="","",'Gr. E'!G19)</f>
        <v>0</v>
      </c>
    </row>
    <row r="26" spans="1:17" x14ac:dyDescent="0.3">
      <c r="A26" s="39" t="str">
        <f>'Gr. E'!B20</f>
        <v>DoTa</v>
      </c>
      <c r="B26" s="39" t="str">
        <f>'Gr. E'!D20</f>
        <v>Dior</v>
      </c>
      <c r="C26" s="40">
        <f>IF('Gr. E'!E20="","",'Gr. E'!E20)</f>
        <v>0</v>
      </c>
      <c r="D26" s="40" t="s">
        <v>64</v>
      </c>
      <c r="E26" s="40">
        <f>IF('Gr. E'!G20="","",'Gr. E'!G20)</f>
        <v>4</v>
      </c>
    </row>
    <row r="27" spans="1:17" x14ac:dyDescent="0.3">
      <c r="A27" s="39" t="str">
        <f>'Gr. E'!B21</f>
        <v>Caniggia11</v>
      </c>
      <c r="B27" s="39" t="str">
        <f>'Gr. E'!D21</f>
        <v>Dior</v>
      </c>
      <c r="C27" s="40">
        <f>IF('Gr. E'!E21="","",'Gr. E'!E21)</f>
        <v>1</v>
      </c>
      <c r="D27" s="40" t="s">
        <v>64</v>
      </c>
      <c r="E27" s="40">
        <f>IF('Gr. E'!G21="","",'Gr. E'!G21)</f>
        <v>2</v>
      </c>
    </row>
    <row r="28" spans="1:17" x14ac:dyDescent="0.3">
      <c r="A28" s="39" t="str">
        <f>'Gr. E'!J7</f>
        <v>Foka</v>
      </c>
      <c r="B28" s="39" t="str">
        <f>'Gr. E'!L7</f>
        <v>Playaveli</v>
      </c>
      <c r="C28" s="40">
        <f>IF('Gr. E'!M7="","",'Gr. E'!M7)</f>
        <v>1</v>
      </c>
      <c r="D28" s="40" t="s">
        <v>64</v>
      </c>
      <c r="E28" s="40">
        <f>IF('Gr. E'!O7="","",'Gr. E'!O7)</f>
        <v>2</v>
      </c>
    </row>
    <row r="29" spans="1:17" x14ac:dyDescent="0.3">
      <c r="A29" s="39" t="str">
        <f>'Gr. E'!J8</f>
        <v>Hawkz</v>
      </c>
      <c r="B29" s="39" t="str">
        <f>'Gr. E'!L8</f>
        <v>Playaveli</v>
      </c>
      <c r="C29" s="40">
        <f>IF('Gr. E'!M8="","",'Gr. E'!M8)</f>
        <v>1</v>
      </c>
      <c r="D29" s="40" t="s">
        <v>64</v>
      </c>
      <c r="E29" s="40">
        <f>IF('Gr. E'!O8="","",'Gr. E'!O8)</f>
        <v>3</v>
      </c>
    </row>
    <row r="30" spans="1:17" x14ac:dyDescent="0.3">
      <c r="A30" s="39" t="str">
        <f>'Gr. E'!J9</f>
        <v>DoTa</v>
      </c>
      <c r="B30" s="39" t="str">
        <f>'Gr. E'!L9</f>
        <v>Playaveli</v>
      </c>
      <c r="C30" s="40">
        <f>IF('Gr. E'!M9="","",'Gr. E'!M9)</f>
        <v>0</v>
      </c>
      <c r="D30" s="40" t="s">
        <v>64</v>
      </c>
      <c r="E30" s="40">
        <f>IF('Gr. E'!O9="","",'Gr. E'!O9)</f>
        <v>6</v>
      </c>
    </row>
    <row r="31" spans="1:17" x14ac:dyDescent="0.3">
      <c r="A31" s="39" t="str">
        <f>'Gr. E'!J10</f>
        <v>Caniggia11</v>
      </c>
      <c r="B31" s="39" t="str">
        <f>'Gr. E'!L10</f>
        <v>Playaveli</v>
      </c>
      <c r="C31" s="40">
        <f>IF('Gr. E'!M10="","",'Gr. E'!M10)</f>
        <v>1</v>
      </c>
      <c r="D31" s="40" t="s">
        <v>64</v>
      </c>
      <c r="E31" s="40">
        <f>IF('Gr. E'!O10="","",'Gr. E'!O10)</f>
        <v>6</v>
      </c>
    </row>
    <row r="32" spans="1:17" x14ac:dyDescent="0.3">
      <c r="A32" s="39" t="str">
        <f>'Gr. E'!J11</f>
        <v>Dior</v>
      </c>
      <c r="B32" s="39" t="str">
        <f>'Gr. E'!L11</f>
        <v>Playaveli</v>
      </c>
      <c r="C32" s="40">
        <f>IF('Gr. E'!M11="","",'Gr. E'!M11)</f>
        <v>1</v>
      </c>
      <c r="D32" s="40" t="s">
        <v>64</v>
      </c>
      <c r="E32" s="40">
        <f>IF('Gr. E'!O11="","",'Gr. E'!O11)</f>
        <v>1</v>
      </c>
    </row>
    <row r="33" spans="1:5" x14ac:dyDescent="0.3">
      <c r="A33" s="39" t="str">
        <f>'Gr. E'!J12</f>
        <v>Hawkz</v>
      </c>
      <c r="B33" s="39" t="str">
        <f>'Gr. E'!L12</f>
        <v>Foka</v>
      </c>
      <c r="C33" s="40">
        <f>IF('Gr. E'!M12="","",'Gr. E'!M12)</f>
        <v>2</v>
      </c>
      <c r="D33" s="40" t="s">
        <v>64</v>
      </c>
      <c r="E33" s="40">
        <f>IF('Gr. E'!O12="","",'Gr. E'!O12)</f>
        <v>2</v>
      </c>
    </row>
    <row r="34" spans="1:5" x14ac:dyDescent="0.3">
      <c r="A34" s="39" t="str">
        <f>'Gr. E'!J13</f>
        <v>DoTa</v>
      </c>
      <c r="B34" s="39" t="str">
        <f>'Gr. E'!L13</f>
        <v>Foka</v>
      </c>
      <c r="C34" s="40">
        <f>IF('Gr. E'!M13="","",'Gr. E'!M13)</f>
        <v>2</v>
      </c>
      <c r="D34" s="40" t="s">
        <v>64</v>
      </c>
      <c r="E34" s="40">
        <f>IF('Gr. E'!O13="","",'Gr. E'!O13)</f>
        <v>0</v>
      </c>
    </row>
    <row r="35" spans="1:5" x14ac:dyDescent="0.3">
      <c r="A35" s="39" t="str">
        <f>'Gr. E'!J14</f>
        <v>Caniggia11</v>
      </c>
      <c r="B35" s="39" t="str">
        <f>'Gr. E'!L14</f>
        <v>Foka</v>
      </c>
      <c r="C35" s="40">
        <f>IF('Gr. E'!M14="","",'Gr. E'!M14)</f>
        <v>0</v>
      </c>
      <c r="D35" s="40" t="s">
        <v>64</v>
      </c>
      <c r="E35" s="40">
        <f>IF('Gr. E'!O14="","",'Gr. E'!O14)</f>
        <v>5</v>
      </c>
    </row>
    <row r="36" spans="1:5" x14ac:dyDescent="0.3">
      <c r="A36" s="39" t="str">
        <f>'Gr. E'!J15</f>
        <v>Dior</v>
      </c>
      <c r="B36" s="39" t="str">
        <f>'Gr. E'!L15</f>
        <v>Foka</v>
      </c>
      <c r="C36" s="40">
        <f>IF('Gr. E'!M15="","",'Gr. E'!M15)</f>
        <v>1</v>
      </c>
      <c r="D36" s="40" t="s">
        <v>64</v>
      </c>
      <c r="E36" s="40">
        <f>IF('Gr. E'!O15="","",'Gr. E'!O15)</f>
        <v>3</v>
      </c>
    </row>
    <row r="37" spans="1:5" x14ac:dyDescent="0.3">
      <c r="A37" s="39" t="str">
        <f>'Gr. E'!J16</f>
        <v>DoTa</v>
      </c>
      <c r="B37" s="39" t="str">
        <f>'Gr. E'!L16</f>
        <v>Hawkz</v>
      </c>
      <c r="C37" s="40">
        <f>IF('Gr. E'!M16="","",'Gr. E'!M16)</f>
        <v>1</v>
      </c>
      <c r="D37" s="40" t="s">
        <v>64</v>
      </c>
      <c r="E37" s="40">
        <f>IF('Gr. E'!O16="","",'Gr. E'!O16)</f>
        <v>5</v>
      </c>
    </row>
    <row r="38" spans="1:5" x14ac:dyDescent="0.3">
      <c r="A38" s="39" t="str">
        <f>'Gr. E'!J17</f>
        <v>Caniggia11</v>
      </c>
      <c r="B38" s="39" t="str">
        <f>'Gr. E'!L17</f>
        <v>Hawkz</v>
      </c>
      <c r="C38" s="40">
        <f>IF('Gr. E'!M17="","",'Gr. E'!M17)</f>
        <v>1</v>
      </c>
      <c r="D38" s="40" t="s">
        <v>64</v>
      </c>
      <c r="E38" s="40">
        <f>IF('Gr. E'!O17="","",'Gr. E'!O17)</f>
        <v>4</v>
      </c>
    </row>
    <row r="39" spans="1:5" x14ac:dyDescent="0.3">
      <c r="A39" s="39" t="str">
        <f>'Gr. E'!J18</f>
        <v>Dior</v>
      </c>
      <c r="B39" s="39" t="str">
        <f>'Gr. E'!L18</f>
        <v>Hawkz</v>
      </c>
      <c r="C39" s="40">
        <f>IF('Gr. E'!M18="","",'Gr. E'!M18)</f>
        <v>1</v>
      </c>
      <c r="D39" s="40" t="s">
        <v>64</v>
      </c>
      <c r="E39" s="40">
        <f>IF('Gr. E'!O18="","",'Gr. E'!O18)</f>
        <v>2</v>
      </c>
    </row>
    <row r="40" spans="1:5" x14ac:dyDescent="0.3">
      <c r="A40" s="39" t="str">
        <f>'Gr. E'!J19</f>
        <v>Caniggia11</v>
      </c>
      <c r="B40" s="39" t="str">
        <f>'Gr. E'!L19</f>
        <v>DoTa</v>
      </c>
      <c r="C40" s="40">
        <f>IF('Gr. E'!M19="","",'Gr. E'!M19)</f>
        <v>3</v>
      </c>
      <c r="D40" s="40" t="s">
        <v>64</v>
      </c>
      <c r="E40" s="40">
        <f>IF('Gr. E'!O19="","",'Gr. E'!O19)</f>
        <v>1</v>
      </c>
    </row>
    <row r="41" spans="1:5" x14ac:dyDescent="0.3">
      <c r="A41" s="39" t="str">
        <f>'Gr. E'!J20</f>
        <v>Dior</v>
      </c>
      <c r="B41" s="39" t="str">
        <f>'Gr. E'!L20</f>
        <v>DoTa</v>
      </c>
      <c r="C41" s="40">
        <f>IF('Gr. E'!M20="","",'Gr. E'!M20)</f>
        <v>2</v>
      </c>
      <c r="D41" s="40" t="s">
        <v>64</v>
      </c>
      <c r="E41" s="40">
        <f>IF('Gr. E'!O20="","",'Gr. E'!O20)</f>
        <v>1</v>
      </c>
    </row>
    <row r="42" spans="1:5" x14ac:dyDescent="0.3">
      <c r="A42" s="39" t="str">
        <f>'Gr. E'!J21</f>
        <v>Dior</v>
      </c>
      <c r="B42" s="39" t="str">
        <f>'Gr. E'!L21</f>
        <v>Caniggia11</v>
      </c>
      <c r="C42" s="40">
        <f>IF('Gr. E'!M21="","",'Gr. E'!M21)</f>
        <v>4</v>
      </c>
      <c r="D42" s="40" t="s">
        <v>64</v>
      </c>
      <c r="E42" s="40">
        <f>IF('Gr. E'!O21="","",'Gr. E'!O21)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DS76"/>
  <sheetViews>
    <sheetView showGridLines="0" zoomScaleNormal="100" workbookViewId="0">
      <selection activeCell="B12" sqref="B12"/>
    </sheetView>
  </sheetViews>
  <sheetFormatPr defaultRowHeight="14.4" x14ac:dyDescent="0.3"/>
  <cols>
    <col min="1" max="1" width="5.6640625" customWidth="1"/>
    <col min="2" max="2" width="20.6640625" customWidth="1"/>
    <col min="3" max="4" width="2.33203125" customWidth="1"/>
    <col min="5" max="8" width="4.6640625" customWidth="1"/>
    <col min="9" max="10" width="3.6640625" customWidth="1"/>
    <col min="11" max="11" width="20.6640625" customWidth="1"/>
    <col min="12" max="13" width="2.33203125" customWidth="1"/>
    <col min="14" max="17" width="4.6640625" customWidth="1"/>
    <col min="18" max="18" width="6.6640625" customWidth="1"/>
    <col min="19" max="19" width="20.6640625" customWidth="1"/>
    <col min="20" max="21" width="2.33203125" customWidth="1"/>
    <col min="22" max="25" width="4.6640625" customWidth="1"/>
    <col min="26" max="27" width="3.6640625" customWidth="1"/>
    <col min="28" max="28" width="20.6640625" customWidth="1"/>
    <col min="29" max="30" width="2.33203125" customWidth="1"/>
    <col min="31" max="34" width="4.6640625" customWidth="1"/>
    <col min="55" max="55" width="9.6640625" bestFit="1" customWidth="1"/>
    <col min="56" max="56" width="10" bestFit="1" customWidth="1"/>
    <col min="57" max="57" width="11.6640625" bestFit="1" customWidth="1"/>
    <col min="58" max="59" width="11.6640625" customWidth="1"/>
    <col min="60" max="60" width="6.109375" bestFit="1" customWidth="1"/>
    <col min="61" max="61" width="10.6640625" bestFit="1" customWidth="1"/>
    <col min="62" max="62" width="9.6640625" bestFit="1" customWidth="1"/>
  </cols>
  <sheetData>
    <row r="1" spans="1:123" ht="15" thickBot="1" x14ac:dyDescent="0.35"/>
    <row r="2" spans="1:123" s="75" customFormat="1" ht="31.5" customHeight="1" thickTop="1" thickBot="1" x14ac:dyDescent="0.35">
      <c r="A2" s="74"/>
      <c r="B2" s="228" t="s">
        <v>84</v>
      </c>
      <c r="C2" s="229"/>
      <c r="D2" s="229"/>
      <c r="E2" s="229"/>
      <c r="F2" s="229"/>
      <c r="G2" s="229"/>
      <c r="H2" s="230"/>
      <c r="J2" s="76"/>
      <c r="K2" s="228" t="s">
        <v>85</v>
      </c>
      <c r="L2" s="229"/>
      <c r="M2" s="229"/>
      <c r="N2" s="229"/>
      <c r="O2" s="229"/>
      <c r="P2" s="229"/>
      <c r="Q2" s="230"/>
      <c r="S2" s="228" t="s">
        <v>86</v>
      </c>
      <c r="T2" s="229"/>
      <c r="U2" s="229"/>
      <c r="V2" s="229"/>
      <c r="W2" s="229"/>
      <c r="X2" s="229"/>
      <c r="Y2" s="230"/>
      <c r="AB2" s="228" t="s">
        <v>104</v>
      </c>
      <c r="AC2" s="229"/>
      <c r="AD2" s="229"/>
      <c r="AE2" s="229"/>
      <c r="AF2" s="229"/>
      <c r="AG2" s="229"/>
      <c r="AH2" s="230"/>
      <c r="AL2" s="77"/>
      <c r="AM2" s="77"/>
      <c r="AN2" s="77"/>
      <c r="AO2" s="77"/>
      <c r="AP2" s="77"/>
      <c r="AQ2" s="77"/>
      <c r="AR2" s="77"/>
      <c r="AS2" s="77"/>
      <c r="AT2" s="77"/>
      <c r="AU2" s="78"/>
      <c r="AV2" s="78"/>
      <c r="AW2" s="78"/>
      <c r="AX2" s="78"/>
      <c r="AY2" s="78"/>
      <c r="AZ2" s="78"/>
      <c r="BA2" s="78"/>
      <c r="BB2" s="78"/>
      <c r="BC2" s="78"/>
      <c r="BD2" s="79"/>
      <c r="BE2" s="79"/>
      <c r="BF2" s="79"/>
      <c r="BG2" s="79"/>
      <c r="BH2" s="79"/>
      <c r="BI2" s="79"/>
      <c r="BJ2" s="79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80"/>
      <c r="CS2" s="79"/>
      <c r="CT2" s="79"/>
      <c r="CU2" s="81"/>
      <c r="CV2" s="81"/>
    </row>
    <row r="3" spans="1:123" s="75" customFormat="1" ht="16.5" customHeight="1" thickTop="1" thickBot="1" x14ac:dyDescent="0.35">
      <c r="A3" s="74"/>
      <c r="C3" s="76"/>
      <c r="D3" s="76"/>
      <c r="E3" s="76"/>
      <c r="F3" s="76"/>
      <c r="G3" s="76"/>
      <c r="H3" s="74"/>
      <c r="J3" s="76"/>
      <c r="V3" s="82"/>
      <c r="W3" s="82"/>
      <c r="AS3" s="83" t="s">
        <v>88</v>
      </c>
      <c r="AT3" s="83" t="s">
        <v>35</v>
      </c>
      <c r="AU3" s="83" t="s">
        <v>73</v>
      </c>
      <c r="AV3" s="83" t="s">
        <v>52</v>
      </c>
      <c r="AW3" s="83" t="s">
        <v>53</v>
      </c>
      <c r="AX3" s="83" t="s">
        <v>54</v>
      </c>
      <c r="AY3" s="83" t="s">
        <v>70</v>
      </c>
      <c r="AZ3" s="83" t="s">
        <v>69</v>
      </c>
      <c r="BA3" s="83" t="s">
        <v>57</v>
      </c>
      <c r="BB3" s="83" t="s">
        <v>58</v>
      </c>
      <c r="BC3" s="83"/>
      <c r="BD3" s="84" t="s">
        <v>89</v>
      </c>
      <c r="BE3" s="84" t="s">
        <v>90</v>
      </c>
      <c r="BF3" s="84" t="s">
        <v>96</v>
      </c>
      <c r="BG3" s="84" t="s">
        <v>97</v>
      </c>
      <c r="BH3" s="84" t="s">
        <v>91</v>
      </c>
      <c r="BI3" s="84" t="s">
        <v>92</v>
      </c>
      <c r="BJ3" s="84" t="s">
        <v>93</v>
      </c>
      <c r="BK3" s="83"/>
      <c r="BL3" s="81"/>
      <c r="BM3" s="81"/>
      <c r="BN3" s="81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79"/>
      <c r="CA3" s="79"/>
      <c r="CB3" s="79"/>
      <c r="CC3" s="79"/>
      <c r="CD3" s="79"/>
      <c r="CE3" s="79"/>
      <c r="CF3" s="79"/>
      <c r="CG3" s="79"/>
      <c r="CH3" s="79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79"/>
      <c r="CU3" s="79"/>
      <c r="CV3" s="79"/>
      <c r="CW3" s="79"/>
      <c r="CX3" s="79"/>
      <c r="CY3" s="81"/>
      <c r="CZ3" s="81"/>
      <c r="DA3" s="81"/>
      <c r="DB3" s="81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79"/>
      <c r="DO3" s="79"/>
      <c r="DP3" s="79"/>
      <c r="DQ3" s="79"/>
      <c r="DR3" s="79"/>
      <c r="DS3" s="81"/>
    </row>
    <row r="4" spans="1:123" s="75" customFormat="1" ht="18.75" customHeight="1" thickTop="1" thickBot="1" x14ac:dyDescent="0.35">
      <c r="A4" s="119" t="s">
        <v>0</v>
      </c>
      <c r="B4" s="138" t="str">
        <f>IF('Master res'!T10&lt;60,"No. 1.",'Master res'!H15)</f>
        <v>Playaveli</v>
      </c>
      <c r="C4" s="140"/>
      <c r="D4" s="140"/>
      <c r="E4" s="143">
        <v>5</v>
      </c>
      <c r="F4" s="134">
        <v>6</v>
      </c>
      <c r="G4" s="87"/>
      <c r="H4" s="88" t="s">
        <v>94</v>
      </c>
      <c r="J4" s="76"/>
      <c r="K4" s="231" t="s">
        <v>98</v>
      </c>
      <c r="V4" s="82"/>
      <c r="W4" s="82"/>
      <c r="AN4" s="89">
        <f>IF(AP4="",0,IF(AP6&lt;AP4,3,IF(AP6=AP4,1,0)))</f>
        <v>3</v>
      </c>
      <c r="AO4" s="89">
        <f>IF(AQ4="",0,IF(AQ6&lt;AQ4,3,IF(AQ6=AQ4,1,0)))</f>
        <v>3</v>
      </c>
      <c r="AP4" s="86">
        <f>IF(E4="","",IF(E6="","",E4))</f>
        <v>5</v>
      </c>
      <c r="AQ4" s="86">
        <f>IF(F4="","",IF(F6="","",F4))</f>
        <v>6</v>
      </c>
      <c r="AR4" s="86">
        <v>1</v>
      </c>
      <c r="AS4" s="90">
        <f>IF(BJ4="","",RANK(BJ4,$BJ4:$BJ6,1))</f>
        <v>1</v>
      </c>
      <c r="AT4" s="91" t="str">
        <f>B4</f>
        <v>Playaveli</v>
      </c>
      <c r="AU4" s="92">
        <f>SUM(AV4:AX4)</f>
        <v>2</v>
      </c>
      <c r="AV4" s="93">
        <f>SUMPRODUCT(($B4=$AT4)*($AP4&gt;$AP6))+SUMPRODUCT(($B6=$AT4)*($AP4&lt;$AP6))+SUMPRODUCT(($B4=$AT4)*($AQ4&gt;$AQ6))+SUMPRODUCT(($B6=$AT4)*($AQ4&lt;$AQ6))</f>
        <v>2</v>
      </c>
      <c r="AW4" s="93">
        <f>SUMPRODUCT(($B4=$AT4)*($AP4=$AP6)*($AP4&lt;&gt;""))+SUMPRODUCT(($B6=$AT4)*($AP4=$AP6)*($AP4&lt;&gt;""))+SUMPRODUCT(($B4=$AT4)*($AQ4=$AQ6)*($AQ4&lt;&gt;""))+SUMPRODUCT(($B6=$AT4)*($AQ4=$AQ6)*($AP4&lt;&gt;""))</f>
        <v>0</v>
      </c>
      <c r="AX4" s="93">
        <f>SUMPRODUCT(($B4=$AT4)*($AP4&lt;$AP6))+SUMPRODUCT(($B6=$AT4)*($AP4&gt;$AP6))+SUMPRODUCT(($B4=$AT4)*($AQ4&lt;$AQ6))+SUMPRODUCT(($B6=$AT4)*($AQ4&gt;$AQ6))</f>
        <v>0</v>
      </c>
      <c r="AY4" s="93">
        <f>AP4+AQ4</f>
        <v>11</v>
      </c>
      <c r="AZ4" s="93">
        <f>AP6+AQ6</f>
        <v>2</v>
      </c>
      <c r="BA4" s="93">
        <f>AY4-AZ4</f>
        <v>9</v>
      </c>
      <c r="BB4" s="94">
        <f>AV4*3+AW4</f>
        <v>6</v>
      </c>
      <c r="BC4" s="95">
        <f>AS4</f>
        <v>1</v>
      </c>
      <c r="BD4" s="96">
        <f>IF(AT4="","",VALUE(CONCATENATE(TEXT(RANK(BB4,$BB4:$BB6),"00"))))</f>
        <v>1</v>
      </c>
      <c r="BE4" s="97">
        <f>COUNTIF($BD4:$BD6,BD4)</f>
        <v>1</v>
      </c>
      <c r="BF4" s="96">
        <f>RANK(BA4,$BA4:$BA6)</f>
        <v>1</v>
      </c>
      <c r="BG4" s="97">
        <f>COUNTIF($BF4:$BF6,BF4)</f>
        <v>1</v>
      </c>
      <c r="BH4" s="97" t="str">
        <f>IF(BG4=1,"",SUM(($B4=$AT4)*(NOT(ISNA(MATCH($B6,IF($BE4:$BE6&gt;1,$AT4:$AT6,0),0))))*($G4))+SUM(($B6=$AT4)*(NOT(ISNA(MATCH($B4,IF($BE4:$BE6&gt;1,$AT4:$AT6,0),0))))*($G6)))</f>
        <v/>
      </c>
      <c r="BI4" s="96" t="str">
        <f>IF(BH4="","",RANK(BH4,$BH4:$BH6))</f>
        <v/>
      </c>
      <c r="BJ4" s="98">
        <f>VALUE(BD4&amp;BF4&amp;BI4)</f>
        <v>11</v>
      </c>
      <c r="BK4" s="83"/>
      <c r="BL4" s="99"/>
      <c r="BM4" s="81"/>
      <c r="BN4" s="81"/>
      <c r="BO4" s="100"/>
      <c r="BP4" s="81"/>
      <c r="BQ4" s="101"/>
      <c r="BR4" s="101"/>
      <c r="BS4" s="101"/>
      <c r="BT4" s="101"/>
      <c r="BU4" s="101"/>
      <c r="BV4" s="101"/>
      <c r="BW4" s="101"/>
      <c r="BX4" s="81"/>
      <c r="BY4" s="85"/>
      <c r="BZ4" s="81"/>
      <c r="CA4" s="81"/>
      <c r="CB4" s="81"/>
      <c r="CC4" s="81"/>
      <c r="CD4" s="102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102"/>
      <c r="CQ4" s="81"/>
      <c r="CR4" s="81"/>
      <c r="CS4" s="81"/>
      <c r="CT4" s="102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</row>
    <row r="5" spans="1:123" s="75" customFormat="1" ht="3" customHeight="1" thickBot="1" x14ac:dyDescent="0.35">
      <c r="A5" s="119"/>
      <c r="B5" s="103"/>
      <c r="C5" s="141"/>
      <c r="D5" s="136"/>
      <c r="E5" s="130"/>
      <c r="F5" s="131"/>
      <c r="G5" s="104"/>
      <c r="H5" s="105"/>
      <c r="I5" s="106"/>
      <c r="J5" s="76"/>
      <c r="K5" s="232"/>
      <c r="V5" s="82"/>
      <c r="W5" s="82"/>
      <c r="AN5" s="99"/>
      <c r="AO5" s="99"/>
      <c r="AP5" s="99"/>
      <c r="AQ5" s="99"/>
      <c r="AR5" s="86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99"/>
      <c r="BM5" s="99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</row>
    <row r="6" spans="1:123" s="75" customFormat="1" ht="18.75" customHeight="1" thickTop="1" thickBot="1" x14ac:dyDescent="0.25">
      <c r="A6" s="119" t="s">
        <v>20</v>
      </c>
      <c r="B6" s="139" t="str">
        <f>IF('2ndAB'!M8&lt;120,"Nr. 16.",'2ndAB'!A18)</f>
        <v>Cinek</v>
      </c>
      <c r="C6" s="142"/>
      <c r="D6" s="142"/>
      <c r="E6" s="144">
        <v>1</v>
      </c>
      <c r="F6" s="135">
        <v>1</v>
      </c>
      <c r="G6" s="107"/>
      <c r="H6" s="108"/>
      <c r="I6" s="109"/>
      <c r="J6" s="110"/>
      <c r="K6" s="138" t="str">
        <f>IF(AU4&lt;2,"1. vs. 16.",IF(AS4=AS6,"1. vs. 16.",IF(F6="","1. vs. 16.",(IF(AND(BG4=2,G6=""),"1. vs. 16.",VLOOKUP(AR4,AS4:AT6,2,0))))))</f>
        <v>Playaveli</v>
      </c>
      <c r="L6" s="140"/>
      <c r="M6" s="140"/>
      <c r="N6" s="143">
        <v>3</v>
      </c>
      <c r="O6" s="134">
        <v>3</v>
      </c>
      <c r="P6" s="87"/>
      <c r="Q6" s="88" t="s">
        <v>94</v>
      </c>
      <c r="V6" s="82"/>
      <c r="W6" s="82"/>
      <c r="AN6" s="89">
        <f>IF(AP6="",0,IF(AP4&lt;AP6,3,IF(AP4=AP6,1,0)))</f>
        <v>0</v>
      </c>
      <c r="AO6" s="89">
        <f>IF(AQ6="",0,IF(AQ4&lt;AQ6,3,IF(AQ4=AQ6,1,0)))</f>
        <v>0</v>
      </c>
      <c r="AP6" s="86">
        <f>IF(E4="","",IF(E6="","",E6))</f>
        <v>1</v>
      </c>
      <c r="AQ6" s="86">
        <f>IF(F4="","",IF(F6="","",F6))</f>
        <v>1</v>
      </c>
      <c r="AR6" s="86">
        <v>2</v>
      </c>
      <c r="AS6" s="111">
        <f>IF(BJ6="","",RANK(BJ6,$BJ4:$BJ6,1))</f>
        <v>2</v>
      </c>
      <c r="AT6" s="112" t="str">
        <f>B6</f>
        <v>Cinek</v>
      </c>
      <c r="AU6" s="113">
        <f>SUM(AV6:AX6)</f>
        <v>2</v>
      </c>
      <c r="AV6" s="114">
        <f>AX4</f>
        <v>0</v>
      </c>
      <c r="AW6" s="114">
        <f>AW4</f>
        <v>0</v>
      </c>
      <c r="AX6" s="114">
        <f>AV4</f>
        <v>2</v>
      </c>
      <c r="AY6" s="114">
        <f>AP6+AQ6</f>
        <v>2</v>
      </c>
      <c r="AZ6" s="114">
        <f>AP4+AQ4</f>
        <v>11</v>
      </c>
      <c r="BA6" s="114">
        <f>AY6-AZ6</f>
        <v>-9</v>
      </c>
      <c r="BB6" s="115">
        <f>AV6*3+AW6</f>
        <v>0</v>
      </c>
      <c r="BC6" s="95">
        <f>AS6</f>
        <v>2</v>
      </c>
      <c r="BD6" s="96">
        <f>IF(AT6="","",VALUE(CONCATENATE(TEXT(RANK(BB6,$BB4:$BB6),"00"))))</f>
        <v>2</v>
      </c>
      <c r="BE6" s="97">
        <f>COUNTIF($BD4:$BD6,BD6)</f>
        <v>1</v>
      </c>
      <c r="BF6" s="96">
        <f>RANK(BA6,$BA4:$BA6)</f>
        <v>2</v>
      </c>
      <c r="BG6" s="97">
        <f>COUNTIF($BF4:$BF6,BF6)</f>
        <v>1</v>
      </c>
      <c r="BH6" s="97" t="str">
        <f>IF(BG6=1,"",SUM(($B4=$AT6)*(NOT(ISNA(MATCH($B6,IF($BE4:$BE6&gt;1,$AT4:$AT6,0),0))))*($G4))+SUM(($B6=$AT6)*(NOT(ISNA(MATCH($B4,IF($BE4:$BE6&gt;1,$AT4:$AT6,0),0))))*($G6)))</f>
        <v/>
      </c>
      <c r="BI6" s="96" t="str">
        <f>IF(BH6="","",RANK(BH6,$BH4:$BH6))</f>
        <v/>
      </c>
      <c r="BJ6" s="98">
        <f>VALUE(BD6&amp;BF6&amp;BI6)</f>
        <v>22</v>
      </c>
      <c r="BK6" s="83"/>
      <c r="BL6" s="99"/>
      <c r="BM6" s="81"/>
      <c r="BN6" s="81"/>
      <c r="BO6" s="100"/>
      <c r="BP6" s="81"/>
      <c r="BQ6" s="101"/>
      <c r="BR6" s="101"/>
      <c r="BS6" s="101"/>
      <c r="BT6" s="101"/>
      <c r="BU6" s="101"/>
      <c r="BV6" s="101"/>
      <c r="BW6" s="101"/>
      <c r="BX6" s="81"/>
      <c r="BY6" s="85"/>
      <c r="BZ6" s="81"/>
      <c r="CA6" s="81"/>
      <c r="CB6" s="81"/>
      <c r="CC6" s="81"/>
      <c r="CD6" s="102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102"/>
      <c r="CQ6" s="81"/>
      <c r="CR6" s="81"/>
      <c r="CS6" s="81"/>
      <c r="CT6" s="102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</row>
    <row r="7" spans="1:123" s="75" customFormat="1" ht="10.5" customHeight="1" thickTop="1" thickBot="1" x14ac:dyDescent="0.35">
      <c r="A7" s="119"/>
      <c r="B7" s="86"/>
      <c r="C7" s="137"/>
      <c r="D7" s="137"/>
      <c r="E7" s="132"/>
      <c r="F7" s="132"/>
      <c r="G7" s="76"/>
      <c r="H7" s="74"/>
      <c r="I7" s="109"/>
      <c r="J7" s="116"/>
      <c r="K7" s="103" t="s">
        <v>19</v>
      </c>
      <c r="L7" s="141"/>
      <c r="M7" s="136"/>
      <c r="N7" s="130"/>
      <c r="O7" s="131"/>
      <c r="P7" s="104"/>
      <c r="Q7" s="105"/>
      <c r="V7" s="82"/>
      <c r="W7" s="82"/>
      <c r="AM7" s="117"/>
      <c r="AN7" s="99"/>
      <c r="AO7" s="99"/>
      <c r="AP7" s="99"/>
      <c r="AQ7" s="99"/>
      <c r="AR7" s="86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99"/>
      <c r="BM7" s="99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</row>
    <row r="8" spans="1:123" s="75" customFormat="1" ht="18.75" customHeight="1" thickTop="1" thickBot="1" x14ac:dyDescent="0.25">
      <c r="A8" s="119" t="s">
        <v>7</v>
      </c>
      <c r="B8" s="138" t="str">
        <f>IF('Super res'!T10&lt;60,"Nr.8.",'Super res'!H16)</f>
        <v>Andib</v>
      </c>
      <c r="C8" s="140"/>
      <c r="D8" s="140"/>
      <c r="E8" s="143">
        <v>2</v>
      </c>
      <c r="F8" s="134">
        <v>2</v>
      </c>
      <c r="G8" s="87"/>
      <c r="H8" s="88" t="s">
        <v>94</v>
      </c>
      <c r="I8" s="109"/>
      <c r="J8" s="110"/>
      <c r="K8" s="139" t="str">
        <f>IF(AU8&lt;2,"8. vs. 9.",IF(AS8=AS10,"8. vs. 9.",IF(F10="","8. vs. 9.",(IF(AND(BG8=2,G10=""),"8. vs. 9.",VLOOKUP(AR8,AS8:AT10,2,0))))))</f>
        <v>Andib</v>
      </c>
      <c r="L8" s="142"/>
      <c r="M8" s="142"/>
      <c r="N8" s="144">
        <v>0</v>
      </c>
      <c r="O8" s="135">
        <v>2</v>
      </c>
      <c r="P8" s="107"/>
      <c r="Q8" s="108"/>
      <c r="S8" s="226" t="s">
        <v>102</v>
      </c>
      <c r="V8" s="82"/>
      <c r="W8" s="82"/>
      <c r="AN8" s="89">
        <f>IF(AP8="",0,IF(AP10&lt;AP8,3,IF(AP10=AP8,1,0)))</f>
        <v>3</v>
      </c>
      <c r="AO8" s="89">
        <f>IF(AQ8="",0,IF(AQ10&lt;AQ8,3,IF(AQ10=AP8,1,0)))</f>
        <v>1</v>
      </c>
      <c r="AP8" s="86">
        <f>IF(E8="","",IF(E10="","",E8))</f>
        <v>2</v>
      </c>
      <c r="AQ8" s="86">
        <f>IF(F8="","",IF(F10="","",F8))</f>
        <v>2</v>
      </c>
      <c r="AR8" s="86">
        <v>1</v>
      </c>
      <c r="AS8" s="90">
        <f>IF(BJ8="","",RANK(BJ8,$BJ8:$BJ10,1))</f>
        <v>1</v>
      </c>
      <c r="AT8" s="91" t="str">
        <f>B8</f>
        <v>Andib</v>
      </c>
      <c r="AU8" s="92">
        <f>SUM(AV8:AX8)</f>
        <v>2</v>
      </c>
      <c r="AV8" s="93">
        <f>SUMPRODUCT(($B8=$AT8)*($AP8&gt;$AP10))+SUMPRODUCT(($B10=$AT8)*($AP8&lt;$AP10))+SUMPRODUCT(($B8=$AT8)*($AQ8&gt;$AQ10))+SUMPRODUCT(($B10=$AT8)*($AQ8&lt;$AQ10))</f>
        <v>1</v>
      </c>
      <c r="AW8" s="93">
        <f>SUMPRODUCT(($B8=$AT8)*($AP8=$AP10)*($AP8&lt;&gt;""))+SUMPRODUCT(($B10=$AT8)*($AP8=$AP10)*($AP8&lt;&gt;""))+SUMPRODUCT(($B8=$AT8)*($AQ8=$AQ10)*($AQ8&lt;&gt;""))+SUMPRODUCT(($B10=$AT8)*($AQ8=$AQ10)*($AP8&lt;&gt;""))</f>
        <v>1</v>
      </c>
      <c r="AX8" s="93">
        <f>SUMPRODUCT(($B8=$AT8)*($AP8&lt;$AP10))+SUMPRODUCT(($B10=$AT8)*($AP8&gt;$AP10))+SUMPRODUCT(($B8=$AT8)*($AQ8&lt;$AQ10))+SUMPRODUCT(($B10=$AT8)*($AQ8&gt;$AQ10))</f>
        <v>0</v>
      </c>
      <c r="AY8" s="93">
        <f>AP8+AQ8</f>
        <v>4</v>
      </c>
      <c r="AZ8" s="93">
        <f>AP10+AQ10</f>
        <v>2</v>
      </c>
      <c r="BA8" s="93">
        <f>AY8-AZ8</f>
        <v>2</v>
      </c>
      <c r="BB8" s="94">
        <f>AV8*3+AW8</f>
        <v>4</v>
      </c>
      <c r="BC8" s="95">
        <f>AS8</f>
        <v>1</v>
      </c>
      <c r="BD8" s="96">
        <f>IF(AT8="","",VALUE(CONCATENATE(TEXT(RANK(BB8,$BB8:$BB10),"00"))))</f>
        <v>1</v>
      </c>
      <c r="BE8" s="97">
        <f>COUNTIF($BD8:$BD10,BD8)</f>
        <v>1</v>
      </c>
      <c r="BF8" s="96">
        <f>RANK(BA8,$BA8:$BA10)</f>
        <v>1</v>
      </c>
      <c r="BG8" s="97">
        <f>COUNTIF($BF8:$BF10,BF8)</f>
        <v>1</v>
      </c>
      <c r="BH8" s="97" t="str">
        <f>IF(BG8=1,"",SUM(($B8=$AT8)*(NOT(ISNA(MATCH($B10,IF($BE8:$BE10&gt;1,$AT8:$AT10,0),0))))*($G8))+SUM(($B10=$AT8)*(NOT(ISNA(MATCH($B8,IF($BE8:$BE10&gt;1,$AT8:$AT10,0),0))))*($G10)))</f>
        <v/>
      </c>
      <c r="BI8" s="96" t="str">
        <f>IF(BH8="","",RANK(BH8,$BH8:$BH10))</f>
        <v/>
      </c>
      <c r="BJ8" s="98">
        <f>VALUE(BD8&amp;BF8&amp;BI8)</f>
        <v>11</v>
      </c>
      <c r="BK8" s="83"/>
      <c r="BL8" s="99"/>
      <c r="BM8" s="81"/>
      <c r="BN8" s="81"/>
      <c r="BO8" s="100"/>
      <c r="BP8" s="81"/>
      <c r="BQ8" s="101"/>
      <c r="BR8" s="101"/>
      <c r="BS8" s="101"/>
      <c r="BT8" s="101"/>
      <c r="BU8" s="101"/>
      <c r="BV8" s="101"/>
      <c r="BW8" s="101"/>
      <c r="BX8" s="81"/>
      <c r="BY8" s="85"/>
      <c r="BZ8" s="81"/>
      <c r="CA8" s="81"/>
      <c r="CB8" s="81"/>
      <c r="CC8" s="81"/>
      <c r="CD8" s="102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102"/>
      <c r="CQ8" s="81"/>
      <c r="CR8" s="81"/>
      <c r="CS8" s="81"/>
      <c r="CT8" s="102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</row>
    <row r="9" spans="1:123" s="75" customFormat="1" ht="3" customHeight="1" thickBot="1" x14ac:dyDescent="0.35">
      <c r="A9" s="119"/>
      <c r="B9" s="103"/>
      <c r="C9" s="141"/>
      <c r="D9" s="136"/>
      <c r="E9" s="130"/>
      <c r="F9" s="131"/>
      <c r="G9" s="104"/>
      <c r="H9" s="105"/>
      <c r="I9" s="106"/>
      <c r="J9" s="76"/>
      <c r="K9" s="86"/>
      <c r="L9" s="86"/>
      <c r="M9" s="86"/>
      <c r="S9" s="227"/>
      <c r="V9" s="82"/>
      <c r="W9" s="82"/>
      <c r="AN9" s="99"/>
      <c r="AO9" s="99"/>
      <c r="AP9" s="99"/>
      <c r="AQ9" s="99"/>
      <c r="AR9" s="86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99"/>
      <c r="BM9" s="99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</row>
    <row r="10" spans="1:123" s="75" customFormat="1" ht="18.75" customHeight="1" thickTop="1" thickBot="1" x14ac:dyDescent="0.35">
      <c r="A10" s="119" t="s">
        <v>8</v>
      </c>
      <c r="B10" s="139" t="str">
        <f>IF('Super res'!T10&lt;60,"Nr.9.",'Super res'!H17)</f>
        <v>Hawkz</v>
      </c>
      <c r="C10" s="142"/>
      <c r="D10" s="142"/>
      <c r="E10" s="144">
        <v>0</v>
      </c>
      <c r="F10" s="135">
        <v>2</v>
      </c>
      <c r="G10" s="107"/>
      <c r="H10" s="108"/>
      <c r="J10" s="76"/>
      <c r="K10" s="86"/>
      <c r="L10" s="86"/>
      <c r="M10" s="86"/>
      <c r="S10" s="138" t="str">
        <f>IF(AU37&lt;2,"Winner QF 1",IF(AS37=AS39,"Winner QF 1",IF(O8="","Winner QF 1",(IF(AND(BG37=2,P8=""),"Winner QF 1",VLOOKUP(AR37,AS37:AT39,2,0))))))</f>
        <v>Playaveli</v>
      </c>
      <c r="T10" s="140"/>
      <c r="U10" s="140"/>
      <c r="V10" s="143">
        <v>4</v>
      </c>
      <c r="W10" s="134">
        <v>2</v>
      </c>
      <c r="X10" s="87"/>
      <c r="Y10" s="88" t="s">
        <v>94</v>
      </c>
      <c r="AN10" s="89">
        <f>IF(AP10="",0,IF(AP8&lt;AP10,3,IF(AP8=AP10,1,0)))</f>
        <v>0</v>
      </c>
      <c r="AO10" s="89">
        <f>IF(AQ10="",0,IF(AQ8&lt;AQ10,3,IF(AQ8=AP10,1,0)))</f>
        <v>0</v>
      </c>
      <c r="AP10" s="86">
        <f>IF(E8="","",IF(E10="","",E10))</f>
        <v>0</v>
      </c>
      <c r="AQ10" s="86">
        <f>IF(F8="","",IF(F10="","",F10))</f>
        <v>2</v>
      </c>
      <c r="AR10" s="86">
        <v>2</v>
      </c>
      <c r="AS10" s="111">
        <f>IF(BJ10="","",RANK(BJ10,$BJ8:$BJ10,1))</f>
        <v>2</v>
      </c>
      <c r="AT10" s="112" t="str">
        <f>B10</f>
        <v>Hawkz</v>
      </c>
      <c r="AU10" s="113">
        <f>SUM(AV10:AX10)</f>
        <v>2</v>
      </c>
      <c r="AV10" s="114">
        <f>AX8</f>
        <v>0</v>
      </c>
      <c r="AW10" s="114">
        <f>AW8</f>
        <v>1</v>
      </c>
      <c r="AX10" s="114">
        <f>AV8</f>
        <v>1</v>
      </c>
      <c r="AY10" s="114">
        <f>AP10+AQ10</f>
        <v>2</v>
      </c>
      <c r="AZ10" s="114">
        <f>AP8+AQ8</f>
        <v>4</v>
      </c>
      <c r="BA10" s="114">
        <f>AY10-AZ10</f>
        <v>-2</v>
      </c>
      <c r="BB10" s="115">
        <f>AV10*3+AW10</f>
        <v>1</v>
      </c>
      <c r="BC10" s="95">
        <f>AS10</f>
        <v>2</v>
      </c>
      <c r="BD10" s="96">
        <f>IF(AT10="","",VALUE(CONCATENATE(TEXT(RANK(BB10,$BB8:$BB10),"00"))))</f>
        <v>2</v>
      </c>
      <c r="BE10" s="97">
        <f>COUNTIF($BD8:$BD10,BD10)</f>
        <v>1</v>
      </c>
      <c r="BF10" s="96">
        <f>RANK(BA10,$BA8:$BA10)</f>
        <v>2</v>
      </c>
      <c r="BG10" s="97">
        <f>COUNTIF($BF8:$BF10,BF10)</f>
        <v>1</v>
      </c>
      <c r="BH10" s="97" t="str">
        <f>IF(BG10=1,"",SUM(($B8=$AT10)*(NOT(ISNA(MATCH($B10,IF($BE8:$BE10&gt;1,$AT8:$AT10,0),0))))*($G8))+SUM(($B10=$AT10)*(NOT(ISNA(MATCH($B8,IF($BE8:$BE10&gt;1,$AT8:$AT10,0),0))))*($G10)))</f>
        <v/>
      </c>
      <c r="BI10" s="96" t="str">
        <f>IF(BH10="","",RANK(BH10,$BH8:$BH10))</f>
        <v/>
      </c>
      <c r="BJ10" s="98">
        <f>VALUE(BD10&amp;BF10&amp;BI10)</f>
        <v>22</v>
      </c>
      <c r="BK10" s="83"/>
      <c r="BL10" s="99"/>
      <c r="BM10" s="81"/>
      <c r="BN10" s="81"/>
      <c r="BO10" s="100"/>
      <c r="BP10" s="81"/>
      <c r="BQ10" s="101"/>
      <c r="BR10" s="101"/>
      <c r="BS10" s="101"/>
      <c r="BT10" s="101"/>
      <c r="BU10" s="101"/>
      <c r="BV10" s="101"/>
      <c r="BW10" s="101"/>
      <c r="BX10" s="81"/>
      <c r="BY10" s="85"/>
      <c r="BZ10" s="81"/>
      <c r="CA10" s="81"/>
      <c r="CB10" s="81"/>
      <c r="CC10" s="81"/>
      <c r="CD10" s="102"/>
      <c r="CE10" s="81"/>
      <c r="CF10" s="99"/>
      <c r="CG10" s="81"/>
      <c r="CH10" s="81"/>
      <c r="CI10" s="100"/>
      <c r="CJ10" s="81"/>
      <c r="CK10" s="101"/>
      <c r="CL10" s="101"/>
      <c r="CM10" s="101"/>
      <c r="CN10" s="101"/>
      <c r="CO10" s="101"/>
      <c r="CP10" s="101"/>
      <c r="CQ10" s="101"/>
      <c r="CR10" s="81"/>
      <c r="CS10" s="85"/>
      <c r="CT10" s="81"/>
      <c r="CU10" s="81"/>
      <c r="CV10" s="81"/>
      <c r="CW10" s="81"/>
      <c r="CX10" s="102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</row>
    <row r="11" spans="1:123" s="75" customFormat="1" ht="10.5" customHeight="1" thickTop="1" thickBot="1" x14ac:dyDescent="0.35">
      <c r="A11" s="119"/>
      <c r="B11" s="86"/>
      <c r="C11" s="137"/>
      <c r="D11" s="137"/>
      <c r="E11" s="132"/>
      <c r="F11" s="132"/>
      <c r="G11" s="118"/>
      <c r="H11" s="74"/>
      <c r="J11" s="76"/>
      <c r="K11" s="86"/>
      <c r="L11" s="86"/>
      <c r="M11" s="86"/>
      <c r="S11" s="103" t="s">
        <v>19</v>
      </c>
      <c r="T11" s="141"/>
      <c r="U11" s="136"/>
      <c r="V11" s="130"/>
      <c r="W11" s="131"/>
      <c r="X11" s="104"/>
      <c r="Y11" s="105"/>
      <c r="AM11" s="117"/>
      <c r="AN11" s="99"/>
      <c r="AO11" s="99"/>
      <c r="AP11" s="99"/>
      <c r="AQ11" s="99"/>
      <c r="AR11" s="86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99"/>
      <c r="BM11" s="99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99"/>
      <c r="CG11" s="99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</row>
    <row r="12" spans="1:123" s="75" customFormat="1" ht="18.75" customHeight="1" thickTop="1" thickBot="1" x14ac:dyDescent="0.35">
      <c r="A12" s="119" t="s">
        <v>3</v>
      </c>
      <c r="B12" s="138" t="str">
        <f>IF('Master res'!T10&lt;60,"Nr.4.",'Master res'!H18)</f>
        <v>DjowGer</v>
      </c>
      <c r="C12" s="140"/>
      <c r="D12" s="140"/>
      <c r="E12" s="143">
        <v>4</v>
      </c>
      <c r="F12" s="134">
        <v>3</v>
      </c>
      <c r="G12" s="87"/>
      <c r="H12" s="88" t="s">
        <v>94</v>
      </c>
      <c r="J12" s="76"/>
      <c r="K12" s="231" t="s">
        <v>99</v>
      </c>
      <c r="L12" s="86"/>
      <c r="M12" s="86"/>
      <c r="S12" s="139" t="str">
        <f>IF(AU41&lt;2,"Winner QF 2",IF(AS41=AS43,"Winner QF 2",IF(O16="","Winner QF 1",(IF(AND(BG41=2,P16=""),"Winner QF 2",VLOOKUP(AR41,AS41:AT43,2,0))))))</f>
        <v>DjowGer</v>
      </c>
      <c r="T12" s="142"/>
      <c r="U12" s="142"/>
      <c r="V12" s="144">
        <v>1</v>
      </c>
      <c r="W12" s="135">
        <v>2</v>
      </c>
      <c r="X12" s="107"/>
      <c r="Y12" s="108"/>
      <c r="AM12" s="117"/>
      <c r="AN12" s="89">
        <f>IF(AP12="",0,IF(AP14&lt;AP12,3,IF(AP14=AP12,1,0)))</f>
        <v>3</v>
      </c>
      <c r="AO12" s="89">
        <f>IF(AQ12="",0,IF(AQ14&lt;AQ12,3,IF(AQ14=AP12,1,0)))</f>
        <v>3</v>
      </c>
      <c r="AP12" s="86">
        <f>IF(E12="","",IF(E14="","",E12))</f>
        <v>4</v>
      </c>
      <c r="AQ12" s="86">
        <f>IF(F12="","",IF(F14="","",F12))</f>
        <v>3</v>
      </c>
      <c r="AR12" s="86">
        <v>1</v>
      </c>
      <c r="AS12" s="90">
        <f>IF(BJ12="","",RANK(BJ12,$BJ12:$BJ14,1))</f>
        <v>1</v>
      </c>
      <c r="AT12" s="91" t="str">
        <f>B12</f>
        <v>DjowGer</v>
      </c>
      <c r="AU12" s="92">
        <f>SUM(AV12:AX12)</f>
        <v>2</v>
      </c>
      <c r="AV12" s="93">
        <f>SUMPRODUCT(($B12=$AT12)*($AP12&gt;$AP14))+SUMPRODUCT(($B14=$AT12)*($AP12&lt;$AP14))+SUMPRODUCT(($B12=$AT12)*($AQ12&gt;$AQ14))+SUMPRODUCT(($B14=$AT12)*($AQ12&lt;$AQ14))</f>
        <v>2</v>
      </c>
      <c r="AW12" s="93">
        <f>SUMPRODUCT(($B12=$AT12)*($AP12=$AP14)*($AP12&lt;&gt;""))+SUMPRODUCT(($B14=$AT12)*($AP12=$AP14)*($AP12&lt;&gt;""))+SUMPRODUCT(($B12=$AT12)*($AQ12=$AQ14)*($AQ12&lt;&gt;""))+SUMPRODUCT(($B14=$AT12)*($AQ12=$AQ14)*($AP12&lt;&gt;""))</f>
        <v>0</v>
      </c>
      <c r="AX12" s="93">
        <f>SUMPRODUCT(($B12=$AT12)*($AP12&lt;$AP14))+SUMPRODUCT(($B14=$AT12)*($AP12&gt;$AP14))+SUMPRODUCT(($B12=$AT12)*($AQ12&lt;$AQ14))+SUMPRODUCT(($B14=$AT12)*($AQ12&gt;$AQ14))</f>
        <v>0</v>
      </c>
      <c r="AY12" s="93">
        <f>AP12+AQ12</f>
        <v>7</v>
      </c>
      <c r="AZ12" s="93">
        <f>AP14+AQ14</f>
        <v>3</v>
      </c>
      <c r="BA12" s="93">
        <f>AY12-AZ12</f>
        <v>4</v>
      </c>
      <c r="BB12" s="94">
        <f>AV12*3+AW12</f>
        <v>6</v>
      </c>
      <c r="BC12" s="95">
        <f>AS12</f>
        <v>1</v>
      </c>
      <c r="BD12" s="96">
        <f>IF(AT12="","",VALUE(CONCATENATE(TEXT(RANK(BB12,$BB12:$BB14),"00"))))</f>
        <v>1</v>
      </c>
      <c r="BE12" s="97">
        <f>COUNTIF($BD12:$BD14,BD12)</f>
        <v>1</v>
      </c>
      <c r="BF12" s="96">
        <f>RANK(BA12,$BA12:$BA14)</f>
        <v>1</v>
      </c>
      <c r="BG12" s="97">
        <f>COUNTIF($BF12:$BF14,BF12)</f>
        <v>1</v>
      </c>
      <c r="BH12" s="97" t="str">
        <f>IF(BG12=1,"",SUM(($B12=$AT12)*(NOT(ISNA(MATCH($B14,IF($BE12:$BE14&gt;1,$AT12:$AT14,0),0))))*($G12))+SUM(($B14=$AT12)*(NOT(ISNA(MATCH($B12,IF($BE12:$BE14&gt;1,$AT12:$AT14,0),0))))*($G14)))</f>
        <v/>
      </c>
      <c r="BI12" s="96" t="str">
        <f>IF(BH12="","",RANK(BH12,$BH12:$BH14))</f>
        <v/>
      </c>
      <c r="BJ12" s="98">
        <f>VALUE(BD12&amp;BF12&amp;BI12)</f>
        <v>11</v>
      </c>
      <c r="BK12" s="83"/>
      <c r="BL12" s="99"/>
      <c r="BM12" s="81"/>
      <c r="BN12" s="81"/>
      <c r="BO12" s="100"/>
      <c r="BP12" s="81"/>
      <c r="BQ12" s="101"/>
      <c r="BR12" s="101"/>
      <c r="BS12" s="101"/>
      <c r="BT12" s="101"/>
      <c r="BU12" s="101"/>
      <c r="BV12" s="101"/>
      <c r="BW12" s="101"/>
      <c r="BX12" s="81"/>
      <c r="BY12" s="85"/>
      <c r="BZ12" s="81"/>
      <c r="CA12" s="81"/>
      <c r="CB12" s="81"/>
      <c r="CC12" s="81"/>
      <c r="CD12" s="102"/>
      <c r="CE12" s="81"/>
      <c r="CF12" s="99"/>
      <c r="CG12" s="81"/>
      <c r="CH12" s="81"/>
      <c r="CI12" s="100"/>
      <c r="CJ12" s="81"/>
      <c r="CK12" s="101"/>
      <c r="CL12" s="101"/>
      <c r="CM12" s="101"/>
      <c r="CN12" s="101"/>
      <c r="CO12" s="101"/>
      <c r="CP12" s="101"/>
      <c r="CQ12" s="101"/>
      <c r="CR12" s="81"/>
      <c r="CS12" s="85"/>
      <c r="CT12" s="81"/>
      <c r="CU12" s="81"/>
      <c r="CV12" s="81"/>
      <c r="CW12" s="81"/>
      <c r="CX12" s="102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/>
      <c r="DM12" s="81"/>
      <c r="DN12" s="81"/>
      <c r="DO12" s="81"/>
      <c r="DP12" s="81"/>
      <c r="DQ12" s="81"/>
      <c r="DR12" s="81"/>
      <c r="DS12" s="81"/>
    </row>
    <row r="13" spans="1:123" s="75" customFormat="1" ht="3" customHeight="1" thickBot="1" x14ac:dyDescent="0.35">
      <c r="A13" s="119"/>
      <c r="B13" s="103"/>
      <c r="C13" s="141"/>
      <c r="D13" s="136"/>
      <c r="E13" s="130"/>
      <c r="F13" s="131"/>
      <c r="G13" s="104"/>
      <c r="H13" s="105"/>
      <c r="I13" s="106"/>
      <c r="J13" s="76"/>
      <c r="K13" s="232"/>
      <c r="L13" s="86"/>
      <c r="M13" s="86"/>
      <c r="S13" s="86"/>
      <c r="T13" s="86"/>
      <c r="U13" s="86"/>
      <c r="V13" s="82"/>
      <c r="W13" s="82"/>
      <c r="AM13" s="117"/>
      <c r="AN13" s="99"/>
      <c r="AO13" s="99"/>
      <c r="AP13" s="99"/>
      <c r="AQ13" s="99"/>
      <c r="AR13" s="86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99"/>
      <c r="BM13" s="99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</row>
    <row r="14" spans="1:123" s="75" customFormat="1" ht="18.75" customHeight="1" thickTop="1" thickBot="1" x14ac:dyDescent="0.25">
      <c r="A14" s="119" t="s">
        <v>12</v>
      </c>
      <c r="B14" s="139" t="str">
        <f>IF('2ndAB'!M8&lt;120,"Nr.13.",'2ndAB'!A15)</f>
        <v>Foka</v>
      </c>
      <c r="C14" s="142"/>
      <c r="D14" s="142"/>
      <c r="E14" s="144">
        <v>3</v>
      </c>
      <c r="F14" s="135">
        <v>0</v>
      </c>
      <c r="G14" s="107"/>
      <c r="H14" s="108"/>
      <c r="I14" s="109"/>
      <c r="J14" s="110"/>
      <c r="K14" s="138" t="str">
        <f>IF(AU12&lt;2,"4. vs. 13.",IF(AS12=AS14,"4. vs. 13.",IF(F14="","4. vs. 13.",(IF(AND(BG12=2,G14=""),"4. vs. 13.",VLOOKUP(AR12,AS12:AT14,2,0))))))</f>
        <v>DjowGer</v>
      </c>
      <c r="L14" s="140"/>
      <c r="M14" s="140"/>
      <c r="N14" s="143">
        <v>2</v>
      </c>
      <c r="O14" s="134">
        <v>1</v>
      </c>
      <c r="P14" s="87"/>
      <c r="Q14" s="88" t="s">
        <v>94</v>
      </c>
      <c r="S14" s="86"/>
      <c r="T14" s="86"/>
      <c r="U14" s="86"/>
      <c r="V14" s="82"/>
      <c r="W14" s="82"/>
      <c r="AM14" s="117"/>
      <c r="AN14" s="89">
        <f>IF(AP14="",0,IF(AP12&lt;AP14,3,IF(AP12=AP14,1,0)))</f>
        <v>0</v>
      </c>
      <c r="AO14" s="89">
        <f>IF(AQ14="",0,IF(AQ12&lt;AQ14,3,IF(AQ12=AP14,1,0)))</f>
        <v>1</v>
      </c>
      <c r="AP14" s="86">
        <f>IF(E12="","",IF(E14="","",E14))</f>
        <v>3</v>
      </c>
      <c r="AQ14" s="86">
        <f>IF(F12="","",IF(F14="","",F14))</f>
        <v>0</v>
      </c>
      <c r="AR14" s="86">
        <v>2</v>
      </c>
      <c r="AS14" s="111">
        <f>IF(BJ14="","",RANK(BJ14,$BJ12:$BJ14,1))</f>
        <v>2</v>
      </c>
      <c r="AT14" s="112" t="str">
        <f>B14</f>
        <v>Foka</v>
      </c>
      <c r="AU14" s="113">
        <f>SUM(AV14:AX14)</f>
        <v>2</v>
      </c>
      <c r="AV14" s="114">
        <f>AX12</f>
        <v>0</v>
      </c>
      <c r="AW14" s="114">
        <f>AW12</f>
        <v>0</v>
      </c>
      <c r="AX14" s="114">
        <f>AV12</f>
        <v>2</v>
      </c>
      <c r="AY14" s="114">
        <f>AP14+AQ14</f>
        <v>3</v>
      </c>
      <c r="AZ14" s="114">
        <f>AP12+AQ12</f>
        <v>7</v>
      </c>
      <c r="BA14" s="114">
        <f>AY14-AZ14</f>
        <v>-4</v>
      </c>
      <c r="BB14" s="115">
        <f>AV14*3+AW14</f>
        <v>0</v>
      </c>
      <c r="BC14" s="95">
        <f>AS14</f>
        <v>2</v>
      </c>
      <c r="BD14" s="96">
        <f>IF(AT14="","",VALUE(CONCATENATE(TEXT(RANK(BB14,$BB12:$BB14),"00"))))</f>
        <v>2</v>
      </c>
      <c r="BE14" s="97">
        <f>COUNTIF($BD12:$BD14,BD14)</f>
        <v>1</v>
      </c>
      <c r="BF14" s="96">
        <f>RANK(BA14,$BA12:$BA14)</f>
        <v>2</v>
      </c>
      <c r="BG14" s="97">
        <f>COUNTIF($BF12:$BF14,BF14)</f>
        <v>1</v>
      </c>
      <c r="BH14" s="97" t="str">
        <f>IF(BG14=1,"",SUM(($B12=$AT14)*(NOT(ISNA(MATCH($B14,IF($BE12:$BE14&gt;1,$AT12:$AT14,0),0))))*($G12))+SUM(($B14=$AT14)*(NOT(ISNA(MATCH($B12,IF($BE12:$BE14&gt;1,$AT12:$AT14,0),0))))*($G14)))</f>
        <v/>
      </c>
      <c r="BI14" s="96" t="str">
        <f>IF(BH14="","",RANK(BH14,$BH12:$BH14))</f>
        <v/>
      </c>
      <c r="BJ14" s="98">
        <f>VALUE(BD14&amp;BF14&amp;BI14)</f>
        <v>22</v>
      </c>
      <c r="BK14" s="83"/>
      <c r="BL14" s="99"/>
      <c r="BM14" s="81"/>
      <c r="BN14" s="81"/>
      <c r="BO14" s="100"/>
      <c r="BP14" s="81"/>
      <c r="BQ14" s="101"/>
      <c r="BR14" s="101"/>
      <c r="BS14" s="101"/>
      <c r="BT14" s="101"/>
      <c r="BU14" s="101"/>
      <c r="BV14" s="101"/>
      <c r="BW14" s="101"/>
      <c r="BX14" s="81"/>
      <c r="BY14" s="85"/>
      <c r="BZ14" s="81"/>
      <c r="CA14" s="81"/>
      <c r="CB14" s="81"/>
      <c r="CC14" s="81"/>
      <c r="CD14" s="102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102"/>
      <c r="CQ14" s="81"/>
      <c r="CR14" s="81"/>
      <c r="CS14" s="81"/>
      <c r="CT14" s="102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</row>
    <row r="15" spans="1:123" s="75" customFormat="1" ht="10.5" customHeight="1" thickTop="1" thickBot="1" x14ac:dyDescent="0.35">
      <c r="A15" s="119"/>
      <c r="B15" s="86"/>
      <c r="C15" s="137"/>
      <c r="D15" s="137"/>
      <c r="E15" s="132"/>
      <c r="F15" s="132"/>
      <c r="G15" s="76"/>
      <c r="H15" s="74"/>
      <c r="I15" s="109"/>
      <c r="J15" s="116"/>
      <c r="K15" s="103" t="s">
        <v>19</v>
      </c>
      <c r="L15" s="141"/>
      <c r="M15" s="136"/>
      <c r="N15" s="130"/>
      <c r="O15" s="131"/>
      <c r="P15" s="104"/>
      <c r="Q15" s="105"/>
      <c r="S15" s="86"/>
      <c r="T15" s="86"/>
      <c r="U15" s="86"/>
      <c r="V15" s="82"/>
      <c r="W15" s="82"/>
      <c r="AM15" s="117"/>
      <c r="AN15" s="99"/>
      <c r="AO15" s="99"/>
      <c r="AP15" s="99"/>
      <c r="AQ15" s="99"/>
      <c r="AR15" s="86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99"/>
      <c r="BM15" s="99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</row>
    <row r="16" spans="1:123" s="75" customFormat="1" ht="18.75" customHeight="1" thickTop="1" thickBot="1" x14ac:dyDescent="0.25">
      <c r="A16" s="119" t="s">
        <v>4</v>
      </c>
      <c r="B16" s="138" t="str">
        <f>IF('Master res'!T10&lt;60,"Nr. 5.",'Master res'!H19)</f>
        <v>bobbiebobras</v>
      </c>
      <c r="C16" s="140"/>
      <c r="D16" s="140"/>
      <c r="E16" s="143">
        <v>4</v>
      </c>
      <c r="F16" s="134">
        <v>1</v>
      </c>
      <c r="G16" s="87"/>
      <c r="H16" s="88" t="s">
        <v>94</v>
      </c>
      <c r="I16" s="109"/>
      <c r="J16" s="110"/>
      <c r="K16" s="139" t="str">
        <f>IF(AU16&lt;2,"5. vs. 12.",IF(AS16=AS18,"5. vs. 12.",IF(F18="","5. vs. 12.",(IF(AND(BG16=2,G18=""),"5. vs. 12.",VLOOKUP(AR16,AS16:AT18,2,0))))))</f>
        <v>bobbiebobras</v>
      </c>
      <c r="L16" s="142"/>
      <c r="M16" s="142"/>
      <c r="N16" s="144">
        <v>1</v>
      </c>
      <c r="O16" s="135">
        <v>0</v>
      </c>
      <c r="P16" s="107"/>
      <c r="Q16" s="108"/>
      <c r="S16" s="86"/>
      <c r="T16" s="86"/>
      <c r="U16" s="86"/>
      <c r="V16" s="82"/>
      <c r="W16" s="82"/>
      <c r="AB16" s="233" t="s">
        <v>87</v>
      </c>
      <c r="AM16" s="117"/>
      <c r="AN16" s="89">
        <f>IF(AP16="",0,IF(AP18&lt;AP16,3,IF(AP18=AP16,1,0)))</f>
        <v>3</v>
      </c>
      <c r="AO16" s="89">
        <f>IF(AQ16="",0,IF(AQ18&lt;AQ16,3,IF(AQ18=AP16,1,0)))</f>
        <v>3</v>
      </c>
      <c r="AP16" s="86">
        <f>IF(E16="","",IF(E18="","",E16))</f>
        <v>4</v>
      </c>
      <c r="AQ16" s="86">
        <f>IF(F16="","",IF(F18="","",F16))</f>
        <v>1</v>
      </c>
      <c r="AR16" s="86">
        <v>1</v>
      </c>
      <c r="AS16" s="90">
        <f>IF(BJ16="","",RANK(BJ16,$BJ16:$BJ18,1))</f>
        <v>1</v>
      </c>
      <c r="AT16" s="91" t="str">
        <f>B16</f>
        <v>bobbiebobras</v>
      </c>
      <c r="AU16" s="92">
        <f>SUM(AV16:AX16)</f>
        <v>2</v>
      </c>
      <c r="AV16" s="93">
        <f>SUMPRODUCT(($B16=$AT16)*($AP16&gt;$AP18))+SUMPRODUCT(($B18=$AT16)*($AP16&lt;$AP18))+SUMPRODUCT(($B16=$AT16)*($AQ16&gt;$AQ18))+SUMPRODUCT(($B18=$AT16)*($AQ16&lt;$AQ18))</f>
        <v>2</v>
      </c>
      <c r="AW16" s="93">
        <f>SUMPRODUCT(($B16=$AT16)*($AP16=$AP18)*($AP16&lt;&gt;""))+SUMPRODUCT(($B18=$AT16)*($AP16=$AP18)*($AP16&lt;&gt;""))+SUMPRODUCT(($B16=$AT16)*($AQ16=$AQ18)*($AQ16&lt;&gt;""))+SUMPRODUCT(($B18=$AT16)*($AQ16=$AQ18)*($AP16&lt;&gt;""))</f>
        <v>0</v>
      </c>
      <c r="AX16" s="93">
        <f>SUMPRODUCT(($B16=$AT16)*($AP16&lt;$AP18))+SUMPRODUCT(($B18=$AT16)*($AP16&gt;$AP18))+SUMPRODUCT(($B16=$AT16)*($AQ16&lt;$AQ18))+SUMPRODUCT(($B18=$AT16)*($AQ16&gt;$AQ18))</f>
        <v>0</v>
      </c>
      <c r="AY16" s="93">
        <f>AP16+AQ16</f>
        <v>5</v>
      </c>
      <c r="AZ16" s="93">
        <f>AP18+AQ18</f>
        <v>2</v>
      </c>
      <c r="BA16" s="93">
        <f>AY16-AZ16</f>
        <v>3</v>
      </c>
      <c r="BB16" s="94">
        <f>AV16*3+AW16</f>
        <v>6</v>
      </c>
      <c r="BC16" s="95">
        <f>AS16</f>
        <v>1</v>
      </c>
      <c r="BD16" s="96">
        <f>IF(AT16="","",VALUE(CONCATENATE(TEXT(RANK(BB16,$BB16:$BB18),"00"))))</f>
        <v>1</v>
      </c>
      <c r="BE16" s="97">
        <f>COUNTIF($BD16:$BD18,BD16)</f>
        <v>1</v>
      </c>
      <c r="BF16" s="96">
        <f>RANK(BA16,$BA16:$BA18)</f>
        <v>1</v>
      </c>
      <c r="BG16" s="97">
        <f>COUNTIF($BF16:$BF18,BF16)</f>
        <v>1</v>
      </c>
      <c r="BH16" s="97" t="str">
        <f>IF(BG16=1,"",SUM(($B16=$AT16)*(NOT(ISNA(MATCH($B18,IF($BE16:$BE18&gt;1,$AT16:$AT18,0),0))))*($G16))+SUM(($B18=$AT16)*(NOT(ISNA(MATCH($B16,IF($BE16:$BE18&gt;1,$AT16:$AT18,0),0))))*($G18)))</f>
        <v/>
      </c>
      <c r="BI16" s="96" t="str">
        <f>IF(BH16="","",RANK(BH16,$BH16:$BH18))</f>
        <v/>
      </c>
      <c r="BJ16" s="98">
        <f>VALUE(BD16&amp;BF16&amp;BI16)</f>
        <v>11</v>
      </c>
      <c r="BK16" s="83"/>
      <c r="BL16" s="99"/>
      <c r="BM16" s="81"/>
      <c r="BN16" s="81"/>
      <c r="BO16" s="100"/>
      <c r="BP16" s="81"/>
      <c r="BQ16" s="101"/>
      <c r="BR16" s="101"/>
      <c r="BS16" s="101"/>
      <c r="BT16" s="101"/>
      <c r="BU16" s="101"/>
      <c r="BV16" s="101"/>
      <c r="BW16" s="101"/>
      <c r="BX16" s="81"/>
      <c r="BY16" s="85"/>
      <c r="BZ16" s="81"/>
      <c r="CA16" s="81"/>
      <c r="CB16" s="81"/>
      <c r="CC16" s="81"/>
      <c r="CD16" s="102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102"/>
      <c r="CQ16" s="81"/>
      <c r="CR16" s="81"/>
      <c r="CS16" s="81"/>
      <c r="CT16" s="102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</row>
    <row r="17" spans="1:123" s="75" customFormat="1" ht="3" customHeight="1" thickBot="1" x14ac:dyDescent="0.35">
      <c r="A17" s="119"/>
      <c r="B17" s="103"/>
      <c r="C17" s="141"/>
      <c r="D17" s="136"/>
      <c r="E17" s="130"/>
      <c r="F17" s="131"/>
      <c r="G17" s="104"/>
      <c r="H17" s="105"/>
      <c r="I17" s="106"/>
      <c r="J17" s="76"/>
      <c r="K17" s="86"/>
      <c r="L17" s="86"/>
      <c r="M17" s="86"/>
      <c r="S17" s="86"/>
      <c r="T17" s="86"/>
      <c r="U17" s="86"/>
      <c r="V17" s="82"/>
      <c r="W17" s="82"/>
      <c r="AB17" s="234"/>
      <c r="AM17" s="117"/>
      <c r="AN17" s="99"/>
      <c r="AO17" s="99"/>
      <c r="AP17" s="99"/>
      <c r="AQ17" s="99"/>
      <c r="AR17" s="86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99"/>
      <c r="BM17" s="99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</row>
    <row r="18" spans="1:123" s="75" customFormat="1" ht="18.75" customHeight="1" thickTop="1" thickBot="1" x14ac:dyDescent="0.35">
      <c r="A18" s="119" t="s">
        <v>11</v>
      </c>
      <c r="B18" s="139" t="str">
        <f>IF('Super res'!T10&lt;60,"Nr. 12.",'Super res'!H20)</f>
        <v>Bromberg</v>
      </c>
      <c r="C18" s="142"/>
      <c r="D18" s="142"/>
      <c r="E18" s="144">
        <v>2</v>
      </c>
      <c r="F18" s="135">
        <v>0</v>
      </c>
      <c r="G18" s="107"/>
      <c r="H18" s="108"/>
      <c r="J18" s="76"/>
      <c r="K18" s="86"/>
      <c r="L18" s="86"/>
      <c r="M18" s="86"/>
      <c r="S18" s="86"/>
      <c r="T18" s="86"/>
      <c r="U18" s="86"/>
      <c r="V18" s="82"/>
      <c r="W18" s="82"/>
      <c r="AB18" s="138" t="str">
        <f>IF(AU54&lt;1,"Winner SF 1",IF(AS54=AS56,"Winner SF 1",IF(W12="","Winner SF 1",(IF(AND(BG54=2,X12=""),"Winner SF 1",VLOOKUP(AR54,AS54:AT56,2,0))))))</f>
        <v>Playaveli</v>
      </c>
      <c r="AC18" s="140"/>
      <c r="AD18" s="140"/>
      <c r="AE18" s="143">
        <v>1</v>
      </c>
      <c r="AF18" s="134">
        <v>1</v>
      </c>
      <c r="AG18" s="87"/>
      <c r="AH18" s="88" t="s">
        <v>94</v>
      </c>
      <c r="AM18" s="117"/>
      <c r="AN18" s="89">
        <f>IF(AP18="",0,IF(AP16&lt;AP18,3,IF(AP16=AP18,1,0)))</f>
        <v>0</v>
      </c>
      <c r="AO18" s="89">
        <f>IF(AQ18="",0,IF(AQ16&lt;AQ18,3,IF(AQ16=AP18,1,0)))</f>
        <v>0</v>
      </c>
      <c r="AP18" s="86">
        <f>IF(E16="","",IF(E18="","",E18))</f>
        <v>2</v>
      </c>
      <c r="AQ18" s="86">
        <f>IF(F16="","",IF(F18="","",F18))</f>
        <v>0</v>
      </c>
      <c r="AR18" s="86">
        <v>2</v>
      </c>
      <c r="AS18" s="111">
        <f>IF(BJ18="","",RANK(BJ18,$BJ16:$BJ18,1))</f>
        <v>2</v>
      </c>
      <c r="AT18" s="112" t="str">
        <f>B18</f>
        <v>Bromberg</v>
      </c>
      <c r="AU18" s="113">
        <f>SUM(AV18:AX18)</f>
        <v>2</v>
      </c>
      <c r="AV18" s="114">
        <f>AX16</f>
        <v>0</v>
      </c>
      <c r="AW18" s="114">
        <f>AW16</f>
        <v>0</v>
      </c>
      <c r="AX18" s="114">
        <f>AV16</f>
        <v>2</v>
      </c>
      <c r="AY18" s="114">
        <f>AP18+AQ18</f>
        <v>2</v>
      </c>
      <c r="AZ18" s="114">
        <f>AP16+AQ16</f>
        <v>5</v>
      </c>
      <c r="BA18" s="114">
        <f>AY18-AZ18</f>
        <v>-3</v>
      </c>
      <c r="BB18" s="115">
        <f>AV18*3+AW18</f>
        <v>0</v>
      </c>
      <c r="BC18" s="95">
        <f>AS18</f>
        <v>2</v>
      </c>
      <c r="BD18" s="96">
        <f>IF(AT18="","",VALUE(CONCATENATE(TEXT(RANK(BB18,$BB16:$BB18),"00"))))</f>
        <v>2</v>
      </c>
      <c r="BE18" s="97">
        <f>COUNTIF($BD16:$BD18,BD18)</f>
        <v>1</v>
      </c>
      <c r="BF18" s="96">
        <f>RANK(BA18,$BA16:$BA18)</f>
        <v>2</v>
      </c>
      <c r="BG18" s="97">
        <f>COUNTIF($BF16:$BF18,BF18)</f>
        <v>1</v>
      </c>
      <c r="BH18" s="97" t="str">
        <f>IF(BG18=1,"",SUM(($B16=$AT18)*(NOT(ISNA(MATCH($B18,IF($BE16:$BE18&gt;1,$AT16:$AT18,0),0))))*($G16))+SUM(($B18=$AT18)*(NOT(ISNA(MATCH($B16,IF($BE16:$BE18&gt;1,$AT16:$AT18,0),0))))*($G18)))</f>
        <v/>
      </c>
      <c r="BI18" s="96" t="str">
        <f>IF(BH18="","",RANK(BH18,$BH16:$BH18))</f>
        <v/>
      </c>
      <c r="BJ18" s="98">
        <f>VALUE(BD18&amp;BF18&amp;BI18)</f>
        <v>22</v>
      </c>
      <c r="BK18" s="83"/>
      <c r="BL18" s="99"/>
      <c r="BM18" s="81"/>
      <c r="BN18" s="81"/>
      <c r="BO18" s="100"/>
      <c r="BP18" s="81"/>
      <c r="BQ18" s="101"/>
      <c r="BR18" s="101"/>
      <c r="BS18" s="101"/>
      <c r="BT18" s="101"/>
      <c r="BU18" s="101"/>
      <c r="BV18" s="101"/>
      <c r="BW18" s="101"/>
      <c r="BX18" s="81"/>
      <c r="BY18" s="85"/>
      <c r="BZ18" s="81"/>
      <c r="CA18" s="81"/>
      <c r="CB18" s="81"/>
      <c r="CC18" s="81"/>
      <c r="CD18" s="102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102"/>
      <c r="CQ18" s="81"/>
      <c r="CR18" s="81"/>
      <c r="CS18" s="81"/>
      <c r="CT18" s="102"/>
      <c r="CU18" s="81"/>
      <c r="CV18" s="81"/>
      <c r="CW18" s="81"/>
      <c r="CX18" s="81"/>
      <c r="CY18" s="81"/>
      <c r="CZ18" s="99"/>
      <c r="DA18" s="81"/>
      <c r="DB18" s="81"/>
      <c r="DC18" s="100"/>
      <c r="DD18" s="81"/>
      <c r="DE18" s="101"/>
      <c r="DF18" s="101"/>
      <c r="DG18" s="101"/>
      <c r="DH18" s="101"/>
      <c r="DI18" s="101"/>
      <c r="DJ18" s="101"/>
      <c r="DK18" s="101"/>
      <c r="DL18" s="81"/>
      <c r="DM18" s="85"/>
      <c r="DN18" s="81"/>
      <c r="DO18" s="81"/>
      <c r="DP18" s="81"/>
      <c r="DQ18" s="81"/>
      <c r="DR18" s="102"/>
      <c r="DS18" s="81"/>
    </row>
    <row r="19" spans="1:123" s="75" customFormat="1" ht="10.5" customHeight="1" thickTop="1" thickBot="1" x14ac:dyDescent="0.35">
      <c r="A19" s="119"/>
      <c r="B19" s="86"/>
      <c r="C19" s="137"/>
      <c r="D19" s="137"/>
      <c r="E19" s="132"/>
      <c r="F19" s="132"/>
      <c r="G19" s="76"/>
      <c r="H19" s="74"/>
      <c r="J19" s="76"/>
      <c r="K19" s="86"/>
      <c r="L19" s="86"/>
      <c r="M19" s="86"/>
      <c r="S19" s="86"/>
      <c r="T19" s="86"/>
      <c r="U19" s="86"/>
      <c r="V19" s="82"/>
      <c r="W19" s="82"/>
      <c r="AB19" s="103" t="s">
        <v>19</v>
      </c>
      <c r="AC19" s="141"/>
      <c r="AD19" s="136"/>
      <c r="AE19" s="130"/>
      <c r="AF19" s="131"/>
      <c r="AG19" s="104"/>
      <c r="AH19" s="105"/>
      <c r="AM19" s="117"/>
      <c r="AN19" s="99"/>
      <c r="AO19" s="99"/>
      <c r="AP19" s="99"/>
      <c r="AQ19" s="99"/>
      <c r="AR19" s="86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99"/>
      <c r="BM19" s="99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99"/>
      <c r="DA19" s="99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</row>
    <row r="20" spans="1:123" s="75" customFormat="1" ht="18.75" customHeight="1" thickTop="1" thickBot="1" x14ac:dyDescent="0.35">
      <c r="A20" s="119" t="s">
        <v>1</v>
      </c>
      <c r="B20" s="138" t="str">
        <f>IF('Master res'!T10&lt;60,"Nr. 2.",'Master res'!H16)</f>
        <v>Lobo</v>
      </c>
      <c r="C20" s="140"/>
      <c r="D20" s="140"/>
      <c r="E20" s="143">
        <v>2</v>
      </c>
      <c r="F20" s="134">
        <v>8</v>
      </c>
      <c r="G20" s="87"/>
      <c r="H20" s="88" t="s">
        <v>94</v>
      </c>
      <c r="J20" s="76"/>
      <c r="K20" s="231" t="s">
        <v>100</v>
      </c>
      <c r="L20" s="86"/>
      <c r="M20" s="86"/>
      <c r="S20" s="86"/>
      <c r="T20" s="86"/>
      <c r="U20" s="86"/>
      <c r="V20" s="82"/>
      <c r="W20" s="82"/>
      <c r="AB20" s="139" t="str">
        <f>IF(AU58&lt;1,"Winner SF 2",IF(AS58=AS60,"Winner SF 2",IF(W28="","Winner SF 2",(IF(AND(BG58=2,X28=""),"Winner SF 2",VLOOKUP(AR58,AS58:AT60,2,0))))))</f>
        <v>Blazej</v>
      </c>
      <c r="AC20" s="142"/>
      <c r="AD20" s="142"/>
      <c r="AE20" s="144">
        <v>5</v>
      </c>
      <c r="AF20" s="135">
        <v>1</v>
      </c>
      <c r="AG20" s="107"/>
      <c r="AH20" s="108"/>
      <c r="AM20" s="117"/>
      <c r="AN20" s="89">
        <f>IF(AP20="",0,IF(AP22&lt;AP20,3,IF(AP22=AP20,1,0)))</f>
        <v>3</v>
      </c>
      <c r="AO20" s="89">
        <f>IF(AQ20="",0,IF(AQ22&lt;AQ20,3,IF(AQ22=AP20,1,0)))</f>
        <v>3</v>
      </c>
      <c r="AP20" s="86">
        <f>IF(E20="","",IF(E22="","",E20))</f>
        <v>2</v>
      </c>
      <c r="AQ20" s="86">
        <f>IF(F20="","",IF(F22="","",F20))</f>
        <v>8</v>
      </c>
      <c r="AR20" s="86">
        <v>1</v>
      </c>
      <c r="AS20" s="90">
        <f>IF(BJ20="","",RANK(BJ20,$BJ20:$BJ22,1))</f>
        <v>1</v>
      </c>
      <c r="AT20" s="91" t="str">
        <f>B20</f>
        <v>Lobo</v>
      </c>
      <c r="AU20" s="92">
        <f>SUM(AV20:AX20)</f>
        <v>2</v>
      </c>
      <c r="AV20" s="93">
        <f>SUMPRODUCT(($B20=$AT20)*($AP20&gt;$AP22))+SUMPRODUCT(($B22=$AT20)*($AP20&lt;$AP22))+SUMPRODUCT(($B20=$AT20)*($AQ20&gt;$AQ22))+SUMPRODUCT(($B22=$AT20)*($AQ20&lt;$AQ22))</f>
        <v>2</v>
      </c>
      <c r="AW20" s="93">
        <f>SUMPRODUCT(($B20=$AT20)*($AP20=$AP22)*($AP20&lt;&gt;""))+SUMPRODUCT(($B22=$AT20)*($AP20=$AP22)*($AP20&lt;&gt;""))+SUMPRODUCT(($B20=$AT20)*($AQ20=$AQ22)*($AQ20&lt;&gt;""))+SUMPRODUCT(($B22=$AT20)*($AQ20=$AQ22)*($AP20&lt;&gt;""))</f>
        <v>0</v>
      </c>
      <c r="AX20" s="93">
        <f>SUMPRODUCT(($B20=$AT20)*($AP20&lt;$AP22))+SUMPRODUCT(($B22=$AT20)*($AP20&gt;$AP22))+SUMPRODUCT(($B20=$AT20)*($AQ20&lt;$AQ22))+SUMPRODUCT(($B22=$AT20)*($AQ20&gt;$AQ22))</f>
        <v>0</v>
      </c>
      <c r="AY20" s="93">
        <f>AP20+AQ20</f>
        <v>10</v>
      </c>
      <c r="AZ20" s="93">
        <f>AP22+AQ22</f>
        <v>2</v>
      </c>
      <c r="BA20" s="93">
        <f>AY20-AZ20</f>
        <v>8</v>
      </c>
      <c r="BB20" s="94">
        <f>AV20*3+AW20</f>
        <v>6</v>
      </c>
      <c r="BC20" s="95">
        <f>AS20</f>
        <v>1</v>
      </c>
      <c r="BD20" s="96">
        <f>IF(AT20="","",VALUE(CONCATENATE(TEXT(RANK(BB20,$BB20:$BB22),"00"))))</f>
        <v>1</v>
      </c>
      <c r="BE20" s="97">
        <f>COUNTIF($BD20:$BD22,BD20)</f>
        <v>1</v>
      </c>
      <c r="BF20" s="96">
        <f>RANK(BA20,$BA20:$BA22)</f>
        <v>1</v>
      </c>
      <c r="BG20" s="97">
        <f>COUNTIF($BF20:$BF22,BF20)</f>
        <v>1</v>
      </c>
      <c r="BH20" s="97" t="str">
        <f>IF(BG20=1,"",SUM(($B20=$AT20)*(NOT(ISNA(MATCH($B22,IF($BE20:$BE22&gt;1,$AT20:$AT22,0),0))))*($G20))+SUM(($B22=$AT20)*(NOT(ISNA(MATCH($B20,IF($BE20:$BE22&gt;1,$AT20:$AT22,0),0))))*($G22)))</f>
        <v/>
      </c>
      <c r="BI20" s="96" t="str">
        <f>IF(BH20="","",RANK(BH20,$BH20:$BH22))</f>
        <v/>
      </c>
      <c r="BJ20" s="98">
        <f>VALUE(BD20&amp;BF20&amp;BI20)</f>
        <v>11</v>
      </c>
      <c r="BK20" s="83"/>
      <c r="BL20" s="99"/>
      <c r="BM20" s="81"/>
      <c r="BN20" s="81"/>
      <c r="BO20" s="100"/>
      <c r="BP20" s="81"/>
      <c r="BQ20" s="101"/>
      <c r="BR20" s="101"/>
      <c r="BS20" s="101"/>
      <c r="BT20" s="101"/>
      <c r="BU20" s="101"/>
      <c r="BV20" s="101"/>
      <c r="BW20" s="101"/>
      <c r="BX20" s="81"/>
      <c r="BY20" s="85"/>
      <c r="BZ20" s="81"/>
      <c r="CA20" s="81"/>
      <c r="CB20" s="81"/>
      <c r="CC20" s="81"/>
      <c r="CD20" s="102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102"/>
      <c r="CQ20" s="81"/>
      <c r="CR20" s="81"/>
      <c r="CS20" s="81"/>
      <c r="CT20" s="102"/>
      <c r="CU20" s="81"/>
      <c r="CV20" s="81"/>
      <c r="CW20" s="81"/>
      <c r="CX20" s="81"/>
      <c r="CY20" s="81"/>
      <c r="CZ20" s="99"/>
      <c r="DA20" s="81"/>
      <c r="DB20" s="81"/>
      <c r="DC20" s="100"/>
      <c r="DD20" s="81"/>
      <c r="DE20" s="101"/>
      <c r="DF20" s="101"/>
      <c r="DG20" s="101"/>
      <c r="DH20" s="101"/>
      <c r="DI20" s="101"/>
      <c r="DJ20" s="101"/>
      <c r="DK20" s="101"/>
      <c r="DL20" s="81"/>
      <c r="DM20" s="85"/>
      <c r="DN20" s="81"/>
      <c r="DO20" s="81"/>
      <c r="DP20" s="81"/>
      <c r="DQ20" s="81"/>
      <c r="DR20" s="102"/>
      <c r="DS20" s="81"/>
    </row>
    <row r="21" spans="1:123" s="75" customFormat="1" ht="3" customHeight="1" thickBot="1" x14ac:dyDescent="0.35">
      <c r="A21" s="119"/>
      <c r="B21" s="103"/>
      <c r="C21" s="141"/>
      <c r="D21" s="136"/>
      <c r="E21" s="130"/>
      <c r="F21" s="131"/>
      <c r="G21" s="104"/>
      <c r="H21" s="105"/>
      <c r="I21" s="106"/>
      <c r="J21" s="76"/>
      <c r="K21" s="232"/>
      <c r="L21" s="86"/>
      <c r="M21" s="86"/>
      <c r="S21" s="86"/>
      <c r="T21" s="86"/>
      <c r="U21" s="86"/>
      <c r="V21" s="82"/>
      <c r="W21" s="82"/>
      <c r="AM21" s="117"/>
      <c r="AN21" s="99"/>
      <c r="AO21" s="99"/>
      <c r="AP21" s="99"/>
      <c r="AQ21" s="99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99"/>
      <c r="BM21" s="99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</row>
    <row r="22" spans="1:123" s="75" customFormat="1" ht="18.75" customHeight="1" thickTop="1" thickBot="1" x14ac:dyDescent="0.25">
      <c r="A22" s="119" t="s">
        <v>14</v>
      </c>
      <c r="B22" s="139" t="str">
        <f>IF('2ndAB'!M8&lt;120,"Nr. 15.",'2ndAB'!A17)</f>
        <v>AndYpsilon</v>
      </c>
      <c r="C22" s="142"/>
      <c r="D22" s="142"/>
      <c r="E22" s="144">
        <v>0</v>
      </c>
      <c r="F22" s="135">
        <v>2</v>
      </c>
      <c r="G22" s="107"/>
      <c r="H22" s="108"/>
      <c r="I22" s="109"/>
      <c r="J22" s="110"/>
      <c r="K22" s="138" t="str">
        <f>IF(AU20&lt;2,"2. vs. 15.",IF(AS20=AS22,"2. vs. 15.",IF(F22="","2. vs. 15.",(IF(AND(BG20=2,G22=""),"2. vs. 15.",VLOOKUP(AR20,AS20:AT22,2,0))))))</f>
        <v>Lobo</v>
      </c>
      <c r="L22" s="140"/>
      <c r="M22" s="140"/>
      <c r="N22" s="143">
        <v>2</v>
      </c>
      <c r="O22" s="134">
        <v>2</v>
      </c>
      <c r="P22" s="87"/>
      <c r="Q22" s="88" t="s">
        <v>94</v>
      </c>
      <c r="S22" s="86"/>
      <c r="T22" s="86"/>
      <c r="U22" s="86"/>
      <c r="V22" s="82"/>
      <c r="W22" s="82"/>
      <c r="AM22" s="117"/>
      <c r="AN22" s="89">
        <f>IF(AP22="",0,IF(AP20&lt;AP22,3,IF(AP20=AP22,1,0)))</f>
        <v>0</v>
      </c>
      <c r="AO22" s="89">
        <f>IF(AQ22="",0,IF(AQ20&lt;AQ22,3,IF(AQ20=AP22,1,0)))</f>
        <v>0</v>
      </c>
      <c r="AP22" s="86">
        <f>IF(E20="","",IF(E22="","",E22))</f>
        <v>0</v>
      </c>
      <c r="AQ22" s="86">
        <f>IF(F20="","",IF(F22="","",F22))</f>
        <v>2</v>
      </c>
      <c r="AR22" s="86">
        <v>2</v>
      </c>
      <c r="AS22" s="111">
        <f>IF(BJ22="","",RANK(BJ22,$BJ20:$BJ22,1))</f>
        <v>2</v>
      </c>
      <c r="AT22" s="112" t="str">
        <f>B22</f>
        <v>AndYpsilon</v>
      </c>
      <c r="AU22" s="113">
        <f>SUM(AV22:AX22)</f>
        <v>2</v>
      </c>
      <c r="AV22" s="114">
        <f>AX20</f>
        <v>0</v>
      </c>
      <c r="AW22" s="114">
        <f>AW20</f>
        <v>0</v>
      </c>
      <c r="AX22" s="114">
        <f>AV20</f>
        <v>2</v>
      </c>
      <c r="AY22" s="114">
        <f>AP22+AQ22</f>
        <v>2</v>
      </c>
      <c r="AZ22" s="114">
        <f>AP20+AQ20</f>
        <v>10</v>
      </c>
      <c r="BA22" s="114">
        <f>AY22-AZ22</f>
        <v>-8</v>
      </c>
      <c r="BB22" s="115">
        <f>AV22*3+AW22</f>
        <v>0</v>
      </c>
      <c r="BC22" s="95">
        <f>AS22</f>
        <v>2</v>
      </c>
      <c r="BD22" s="96">
        <f>IF(AT22="","",VALUE(CONCATENATE(TEXT(RANK(BB22,$BB20:$BB22),"00"))))</f>
        <v>2</v>
      </c>
      <c r="BE22" s="97">
        <f>COUNTIF($BD20:$BD22,BD22)</f>
        <v>1</v>
      </c>
      <c r="BF22" s="96">
        <f>RANK(BA22,$BA20:$BA22)</f>
        <v>2</v>
      </c>
      <c r="BG22" s="97">
        <f>COUNTIF($BF20:$BF22,BF22)</f>
        <v>1</v>
      </c>
      <c r="BH22" s="97" t="str">
        <f>IF(BG22=1,"",SUM(($B20=$AT22)*(NOT(ISNA(MATCH($B22,IF($BE20:$BE22&gt;1,$AT20:$AT22,0),0))))*($G20))+SUM(($B22=$AT22)*(NOT(ISNA(MATCH($B20,IF($BE20:$BE22&gt;1,$AT20:$AT22,0),0))))*($G22)))</f>
        <v/>
      </c>
      <c r="BI22" s="96" t="str">
        <f>IF(BH22="","",RANK(BH22,$BH20:$BH22))</f>
        <v/>
      </c>
      <c r="BJ22" s="98">
        <f>VALUE(BD22&amp;BF22&amp;BI22)</f>
        <v>22</v>
      </c>
      <c r="BK22" s="83"/>
      <c r="BL22" s="99"/>
      <c r="BM22" s="81"/>
      <c r="BN22" s="81"/>
      <c r="BO22" s="100"/>
      <c r="BP22" s="81"/>
      <c r="BQ22" s="101"/>
      <c r="BR22" s="101"/>
      <c r="BS22" s="101"/>
      <c r="BT22" s="101"/>
      <c r="BU22" s="101"/>
      <c r="BV22" s="101"/>
      <c r="BW22" s="101"/>
      <c r="BX22" s="81"/>
      <c r="BY22" s="85"/>
      <c r="BZ22" s="81"/>
      <c r="CA22" s="81"/>
      <c r="CB22" s="81"/>
      <c r="CC22" s="81"/>
      <c r="CD22" s="102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102"/>
      <c r="CQ22" s="81"/>
      <c r="CR22" s="81"/>
      <c r="CS22" s="81"/>
      <c r="CT22" s="102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</row>
    <row r="23" spans="1:123" s="75" customFormat="1" ht="10.5" customHeight="1" thickTop="1" thickBot="1" x14ac:dyDescent="0.35">
      <c r="A23" s="119"/>
      <c r="B23" s="86"/>
      <c r="C23" s="137"/>
      <c r="D23" s="137"/>
      <c r="E23" s="132"/>
      <c r="F23" s="132"/>
      <c r="G23" s="76"/>
      <c r="H23" s="74"/>
      <c r="I23" s="109"/>
      <c r="J23" s="116"/>
      <c r="K23" s="103" t="s">
        <v>19</v>
      </c>
      <c r="L23" s="141"/>
      <c r="M23" s="136"/>
      <c r="N23" s="130"/>
      <c r="O23" s="131"/>
      <c r="P23" s="104"/>
      <c r="Q23" s="105"/>
      <c r="S23" s="86"/>
      <c r="T23" s="86"/>
      <c r="U23" s="86"/>
      <c r="V23" s="82"/>
      <c r="W23" s="82"/>
      <c r="AM23" s="117"/>
      <c r="AN23" s="99"/>
      <c r="AO23" s="99"/>
      <c r="AP23" s="99"/>
      <c r="AQ23" s="99"/>
      <c r="AR23" s="86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99"/>
      <c r="BM23" s="99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</row>
    <row r="24" spans="1:123" s="75" customFormat="1" ht="18.75" customHeight="1" thickTop="1" thickBot="1" x14ac:dyDescent="0.25">
      <c r="A24" s="119" t="s">
        <v>6</v>
      </c>
      <c r="B24" s="138" t="str">
        <f>IF('Super res'!T10&lt;60,"Nr. 7.",'Super res'!H15)</f>
        <v>Blazej</v>
      </c>
      <c r="C24" s="140"/>
      <c r="D24" s="140"/>
      <c r="E24" s="143">
        <v>1</v>
      </c>
      <c r="F24" s="134">
        <v>5</v>
      </c>
      <c r="G24" s="87"/>
      <c r="H24" s="88" t="s">
        <v>94</v>
      </c>
      <c r="I24" s="109"/>
      <c r="J24" s="110"/>
      <c r="K24" s="139" t="str">
        <f>IF(AU24&lt;2,"7. vs. 10.",IF(AS24=AS26,"7. vs. 10.",IF(F26="","7. vs. 10.",(IF(AND(BG24=2,G26=""),"7. vs. 10.",VLOOKUP(AR24,AS24:AT26,2,0))))))</f>
        <v>Blazej</v>
      </c>
      <c r="L24" s="142"/>
      <c r="M24" s="142"/>
      <c r="N24" s="144">
        <v>4</v>
      </c>
      <c r="O24" s="135">
        <v>2</v>
      </c>
      <c r="P24" s="107"/>
      <c r="Q24" s="108"/>
      <c r="S24" s="226" t="s">
        <v>103</v>
      </c>
      <c r="T24" s="86"/>
      <c r="U24" s="86"/>
      <c r="V24" s="82"/>
      <c r="W24" s="82"/>
      <c r="AB24" s="86"/>
      <c r="AC24" s="86"/>
      <c r="AD24" s="86"/>
      <c r="AE24" s="86"/>
      <c r="AF24" s="86"/>
      <c r="AG24" s="86"/>
      <c r="AH24" s="86"/>
      <c r="AM24" s="117"/>
      <c r="AN24" s="89">
        <f>IF(AP24="",0,IF(AP26&lt;AP24,3,IF(AP26=AP24,1,0)))</f>
        <v>0</v>
      </c>
      <c r="AO24" s="89">
        <f>IF(AQ24="",0,IF(AQ26&lt;AQ24,3,IF(AQ26=AP24,1,0)))</f>
        <v>3</v>
      </c>
      <c r="AP24" s="86">
        <f>IF(E24="","",IF(E26="","",E24))</f>
        <v>1</v>
      </c>
      <c r="AQ24" s="86">
        <f>IF(F24="","",IF(F26="","",F24))</f>
        <v>5</v>
      </c>
      <c r="AR24" s="86">
        <v>1</v>
      </c>
      <c r="AS24" s="90">
        <f>IF(BJ24="","",RANK(BJ24,$BJ24:$BJ26,1))</f>
        <v>1</v>
      </c>
      <c r="AT24" s="91" t="str">
        <f>B24</f>
        <v>Blazej</v>
      </c>
      <c r="AU24" s="92">
        <f>SUM(AV24:AX24)</f>
        <v>2</v>
      </c>
      <c r="AV24" s="93">
        <f>SUMPRODUCT(($B24=$AT24)*($AP24&gt;$AP26))+SUMPRODUCT(($B26=$AT24)*($AP24&lt;$AP26))+SUMPRODUCT(($B24=$AT24)*($AQ24&gt;$AQ26))+SUMPRODUCT(($B26=$AT24)*($AQ24&lt;$AQ26))</f>
        <v>1</v>
      </c>
      <c r="AW24" s="93">
        <f>SUMPRODUCT(($B24=$AT24)*($AP24=$AP26)*($AP24&lt;&gt;""))+SUMPRODUCT(($B26=$AT24)*($AP24=$AP26)*($AP24&lt;&gt;""))+SUMPRODUCT(($B24=$AT24)*($AQ24=$AQ26)*($AQ24&lt;&gt;""))+SUMPRODUCT(($B26=$AT24)*($AQ24=$AQ26)*($AP24&lt;&gt;""))</f>
        <v>0</v>
      </c>
      <c r="AX24" s="93">
        <f>SUMPRODUCT(($B24=$AT24)*($AP24&lt;$AP26))+SUMPRODUCT(($B26=$AT24)*($AP24&gt;$AP26))+SUMPRODUCT(($B24=$AT24)*($AQ24&lt;$AQ26))+SUMPRODUCT(($B26=$AT24)*($AQ24&gt;$AQ26))</f>
        <v>1</v>
      </c>
      <c r="AY24" s="93">
        <f>AP24+AQ24</f>
        <v>6</v>
      </c>
      <c r="AZ24" s="93">
        <f>AP26+AQ26</f>
        <v>2</v>
      </c>
      <c r="BA24" s="93">
        <f>AY24-AZ24</f>
        <v>4</v>
      </c>
      <c r="BB24" s="94">
        <f>AV24*3+AW24</f>
        <v>3</v>
      </c>
      <c r="BC24" s="95">
        <f>AS24</f>
        <v>1</v>
      </c>
      <c r="BD24" s="96">
        <f>IF(AT24="","",VALUE(CONCATENATE(TEXT(RANK(BB24,$BB24:$BB26),"00"))))</f>
        <v>1</v>
      </c>
      <c r="BE24" s="97">
        <f>COUNTIF($BD24:$BD26,BD24)</f>
        <v>2</v>
      </c>
      <c r="BF24" s="96">
        <f>RANK(BA24,$BA24:$BA26)</f>
        <v>1</v>
      </c>
      <c r="BG24" s="97">
        <f>COUNTIF($BF24:$BF26,BF24)</f>
        <v>1</v>
      </c>
      <c r="BH24" s="97" t="str">
        <f>IF(BG24=1,"",SUM(($B24=$AT24)*(NOT(ISNA(MATCH($B26,IF($BE24:$BE26&gt;1,$AT24:$AT26,0),0))))*($G24))+SUM(($B26=$AT24)*(NOT(ISNA(MATCH($B24,IF($BE24:$BE26&gt;1,$AT24:$AT26,0),0))))*($G26)))</f>
        <v/>
      </c>
      <c r="BI24" s="96" t="str">
        <f>IF(BH24="","",RANK(BH24,$BH24:$BH26))</f>
        <v/>
      </c>
      <c r="BJ24" s="98">
        <f>VALUE(BD24&amp;BF24&amp;BI24)</f>
        <v>11</v>
      </c>
      <c r="BK24" s="83"/>
      <c r="BL24" s="99"/>
      <c r="BM24" s="81"/>
      <c r="BN24" s="81"/>
      <c r="BO24" s="100"/>
      <c r="BP24" s="81"/>
      <c r="BQ24" s="101"/>
      <c r="BR24" s="101"/>
      <c r="BS24" s="101"/>
      <c r="BT24" s="101"/>
      <c r="BU24" s="101"/>
      <c r="BV24" s="101"/>
      <c r="BW24" s="101"/>
      <c r="BX24" s="81"/>
      <c r="BY24" s="85"/>
      <c r="BZ24" s="81"/>
      <c r="CA24" s="81"/>
      <c r="CB24" s="81"/>
      <c r="CC24" s="81"/>
      <c r="CD24" s="102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102"/>
      <c r="CQ24" s="81"/>
      <c r="CR24" s="81"/>
      <c r="CS24" s="81"/>
      <c r="CT24" s="102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</row>
    <row r="25" spans="1:123" s="75" customFormat="1" ht="3" customHeight="1" thickBot="1" x14ac:dyDescent="0.35">
      <c r="A25" s="119"/>
      <c r="B25" s="103"/>
      <c r="C25" s="141"/>
      <c r="D25" s="136"/>
      <c r="E25" s="130"/>
      <c r="F25" s="131"/>
      <c r="G25" s="104"/>
      <c r="H25" s="105"/>
      <c r="I25" s="106"/>
      <c r="J25" s="76"/>
      <c r="K25" s="86"/>
      <c r="L25" s="86"/>
      <c r="M25" s="86"/>
      <c r="S25" s="227"/>
      <c r="T25" s="86"/>
      <c r="U25" s="86"/>
      <c r="V25" s="82"/>
      <c r="W25" s="82"/>
      <c r="AB25" s="86"/>
      <c r="AC25" s="86"/>
      <c r="AD25" s="86"/>
      <c r="AE25" s="86"/>
      <c r="AF25" s="86"/>
      <c r="AG25" s="86"/>
      <c r="AH25" s="86"/>
      <c r="AM25" s="117"/>
      <c r="AN25" s="99"/>
      <c r="AO25" s="99"/>
      <c r="AP25" s="99"/>
      <c r="AQ25" s="99"/>
      <c r="AR25" s="86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99"/>
      <c r="BM25" s="99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</row>
    <row r="26" spans="1:123" s="75" customFormat="1" ht="18.75" customHeight="1" thickTop="1" thickBot="1" x14ac:dyDescent="0.35">
      <c r="A26" s="119" t="s">
        <v>9</v>
      </c>
      <c r="B26" s="139" t="str">
        <f>IF('Super res'!T10&lt;60,"Nr. 7.",'Super res'!H18)</f>
        <v>ElMichaJ</v>
      </c>
      <c r="C26" s="142"/>
      <c r="D26" s="142"/>
      <c r="E26" s="144">
        <v>2</v>
      </c>
      <c r="F26" s="135">
        <v>0</v>
      </c>
      <c r="G26" s="107"/>
      <c r="H26" s="108"/>
      <c r="J26" s="76"/>
      <c r="K26" s="86"/>
      <c r="L26" s="86"/>
      <c r="M26" s="86"/>
      <c r="S26" s="138" t="str">
        <f>IF(AU45&lt;2,"Winner QF 3",IF(AS45=AS47,"Winner QF 3",IF(O24="","Winner QF 3",(IF(AND(BG45=2,P24=""),"Winner QF 3",VLOOKUP(AR45,AS45:AT47,2,0))))))</f>
        <v>Blazej</v>
      </c>
      <c r="T26" s="140"/>
      <c r="U26" s="140"/>
      <c r="V26" s="143">
        <v>4</v>
      </c>
      <c r="W26" s="134">
        <v>0</v>
      </c>
      <c r="X26" s="87"/>
      <c r="Y26" s="88" t="s">
        <v>94</v>
      </c>
      <c r="AB26" s="86"/>
      <c r="AC26" s="86"/>
      <c r="AD26" s="86"/>
      <c r="AE26" s="86"/>
      <c r="AF26" s="86"/>
      <c r="AG26" s="86"/>
      <c r="AH26" s="86"/>
      <c r="AM26" s="117"/>
      <c r="AN26" s="89">
        <f>IF(AP26="",0,IF(AP24&lt;AP26,3,IF(AP24=AP26,1,0)))</f>
        <v>3</v>
      </c>
      <c r="AO26" s="89">
        <f>IF(AQ26="",0,IF(AQ24&lt;AQ26,3,IF(AQ24=AP26,1,0)))</f>
        <v>0</v>
      </c>
      <c r="AP26" s="86">
        <f>IF(E24="","",IF(E26="","",E26))</f>
        <v>2</v>
      </c>
      <c r="AQ26" s="86">
        <f>IF(F24="","",IF(F26="","",F26))</f>
        <v>0</v>
      </c>
      <c r="AR26" s="86">
        <v>2</v>
      </c>
      <c r="AS26" s="111">
        <f>IF(BJ26="","",RANK(BJ26,$BJ24:$BJ26,1))</f>
        <v>2</v>
      </c>
      <c r="AT26" s="112" t="str">
        <f>B26</f>
        <v>ElMichaJ</v>
      </c>
      <c r="AU26" s="113">
        <f>SUM(AV26:AX26)</f>
        <v>2</v>
      </c>
      <c r="AV26" s="114">
        <f>AX24</f>
        <v>1</v>
      </c>
      <c r="AW26" s="114">
        <f>AW24</f>
        <v>0</v>
      </c>
      <c r="AX26" s="114">
        <f>AV24</f>
        <v>1</v>
      </c>
      <c r="AY26" s="114">
        <f>AP26+AQ26</f>
        <v>2</v>
      </c>
      <c r="AZ26" s="114">
        <f>AP24+AQ24</f>
        <v>6</v>
      </c>
      <c r="BA26" s="114">
        <f>AY26-AZ26</f>
        <v>-4</v>
      </c>
      <c r="BB26" s="115">
        <f>AV26*3+AW26</f>
        <v>3</v>
      </c>
      <c r="BC26" s="95">
        <f>AS26</f>
        <v>2</v>
      </c>
      <c r="BD26" s="96">
        <f>IF(AT26="","",VALUE(CONCATENATE(TEXT(RANK(BB26,$BB24:$BB26),"00"))))</f>
        <v>1</v>
      </c>
      <c r="BE26" s="97">
        <f>COUNTIF($BD24:$BD26,BD26)</f>
        <v>2</v>
      </c>
      <c r="BF26" s="96">
        <f>RANK(BA26,$BA24:$BA26)</f>
        <v>2</v>
      </c>
      <c r="BG26" s="97">
        <f>COUNTIF($BF24:$BF26,BF26)</f>
        <v>1</v>
      </c>
      <c r="BH26" s="97" t="str">
        <f>IF(BG26=1,"",SUM(($B24=$AT26)*(NOT(ISNA(MATCH($B26,IF($BE24:$BE26&gt;1,$AT24:$AT26,0),0))))*($G24))+SUM(($B26=$AT26)*(NOT(ISNA(MATCH($B24,IF($BE24:$BE26&gt;1,$AT24:$AT26,0),0))))*($G26)))</f>
        <v/>
      </c>
      <c r="BI26" s="96" t="str">
        <f>IF(BH26="","",RANK(BH26,$BH24:$BH26))</f>
        <v/>
      </c>
      <c r="BJ26" s="98">
        <f>VALUE(BD26&amp;BF26&amp;BI26)</f>
        <v>12</v>
      </c>
      <c r="BK26" s="83"/>
      <c r="BL26" s="99"/>
      <c r="BM26" s="81"/>
      <c r="BN26" s="81"/>
      <c r="BO26" s="100"/>
      <c r="BP26" s="81"/>
      <c r="BQ26" s="101"/>
      <c r="BR26" s="101"/>
      <c r="BS26" s="101"/>
      <c r="BT26" s="101"/>
      <c r="BU26" s="101"/>
      <c r="BV26" s="101"/>
      <c r="BW26" s="101"/>
      <c r="BX26" s="81"/>
      <c r="BY26" s="85"/>
      <c r="BZ26" s="81"/>
      <c r="CA26" s="81"/>
      <c r="CB26" s="81"/>
      <c r="CC26" s="81"/>
      <c r="CD26" s="102"/>
      <c r="CE26" s="81"/>
      <c r="CF26" s="99"/>
      <c r="CG26" s="81"/>
      <c r="CH26" s="81"/>
      <c r="CI26" s="100"/>
      <c r="CJ26" s="81"/>
      <c r="CK26" s="101"/>
      <c r="CL26" s="101"/>
      <c r="CM26" s="101"/>
      <c r="CN26" s="101"/>
      <c r="CO26" s="101"/>
      <c r="CP26" s="101"/>
      <c r="CQ26" s="101"/>
      <c r="CR26" s="81"/>
      <c r="CS26" s="85"/>
      <c r="CT26" s="81"/>
      <c r="CU26" s="81"/>
      <c r="CV26" s="81"/>
      <c r="CW26" s="81"/>
      <c r="CX26" s="102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</row>
    <row r="27" spans="1:123" s="75" customFormat="1" ht="10.5" customHeight="1" thickTop="1" thickBot="1" x14ac:dyDescent="0.35">
      <c r="A27" s="119"/>
      <c r="B27" s="86"/>
      <c r="C27" s="137"/>
      <c r="D27" s="137"/>
      <c r="E27" s="132"/>
      <c r="F27" s="132"/>
      <c r="G27" s="76"/>
      <c r="H27" s="74"/>
      <c r="J27" s="76"/>
      <c r="K27" s="86"/>
      <c r="L27" s="86"/>
      <c r="M27" s="86"/>
      <c r="S27" s="103" t="s">
        <v>19</v>
      </c>
      <c r="T27" s="141"/>
      <c r="U27" s="136"/>
      <c r="V27" s="130"/>
      <c r="W27" s="131"/>
      <c r="X27" s="104"/>
      <c r="Y27" s="105"/>
      <c r="AB27" s="86"/>
      <c r="AC27" s="86"/>
      <c r="AD27" s="86"/>
      <c r="AE27" s="86"/>
      <c r="AF27" s="86"/>
      <c r="AG27" s="86"/>
      <c r="AH27" s="86"/>
      <c r="AM27" s="117"/>
      <c r="AN27" s="99"/>
      <c r="AO27" s="99"/>
      <c r="AP27" s="99"/>
      <c r="AQ27" s="99"/>
      <c r="AR27" s="86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99"/>
      <c r="BM27" s="99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99"/>
      <c r="CG27" s="99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</row>
    <row r="28" spans="1:123" s="75" customFormat="1" ht="18.75" customHeight="1" thickTop="1" thickBot="1" x14ac:dyDescent="0.35">
      <c r="A28" s="119" t="s">
        <v>2</v>
      </c>
      <c r="B28" s="138" t="str">
        <f>IF('Master res'!T10&lt;60,"Nr. 3.",'Master res'!H17)</f>
        <v>Bomb</v>
      </c>
      <c r="C28" s="140"/>
      <c r="D28" s="140"/>
      <c r="E28" s="143">
        <v>0</v>
      </c>
      <c r="F28" s="134">
        <v>2</v>
      </c>
      <c r="G28" s="87">
        <v>2</v>
      </c>
      <c r="H28" s="216">
        <v>1</v>
      </c>
      <c r="J28" s="76"/>
      <c r="K28" s="231" t="s">
        <v>101</v>
      </c>
      <c r="L28" s="86"/>
      <c r="M28" s="86"/>
      <c r="S28" s="139" t="str">
        <f>IF(AU49&lt;2,"Winner QF 4",IF(AS49=AS51,"Winner QF 4",IF(O32="","Winner QF 4",(IF(AND(BG49=2,P32=""),"Winner QF 4",VLOOKUP(AR49,AS49:AT51,2,0))))))</f>
        <v>Bomb</v>
      </c>
      <c r="T28" s="142"/>
      <c r="U28" s="142"/>
      <c r="V28" s="144">
        <v>2</v>
      </c>
      <c r="W28" s="135">
        <v>1</v>
      </c>
      <c r="X28" s="107"/>
      <c r="Y28" s="108"/>
      <c r="AB28" s="235" t="s">
        <v>105</v>
      </c>
      <c r="AM28" s="117"/>
      <c r="AN28" s="89">
        <f>IF(AP28="",0,IF(AP30&lt;AP28,3,IF(AP30=AP28,1,0)))</f>
        <v>0</v>
      </c>
      <c r="AO28" s="89">
        <f>IF(AQ28="",0,IF(AQ30&lt;AQ28,3,IF(AQ30=AP28,1,0)))</f>
        <v>3</v>
      </c>
      <c r="AP28" s="86">
        <f>IF(E28="","",IF(E30="","",E28))</f>
        <v>0</v>
      </c>
      <c r="AQ28" s="86">
        <f>IF(F28="","",IF(F30="","",F28))</f>
        <v>2</v>
      </c>
      <c r="AR28" s="86">
        <v>1</v>
      </c>
      <c r="AS28" s="90">
        <f>IF(BJ28="","",RANK(BJ28,$BJ28:$BJ30,1))</f>
        <v>1</v>
      </c>
      <c r="AT28" s="91" t="str">
        <f>B28</f>
        <v>Bomb</v>
      </c>
      <c r="AU28" s="92">
        <f>SUM(AV28:AX28)</f>
        <v>2</v>
      </c>
      <c r="AV28" s="93">
        <f>SUMPRODUCT(($B28=$AT28)*($AP28&gt;$AP30))+SUMPRODUCT(($B30=$AT28)*($AP28&lt;$AP30))+SUMPRODUCT(($B28=$AT28)*($AQ28&gt;$AQ30))+SUMPRODUCT(($B30=$AT28)*($AQ28&lt;$AQ30))</f>
        <v>1</v>
      </c>
      <c r="AW28" s="93">
        <f>SUMPRODUCT(($B28=$AT28)*($AP28=$AP30)*($AP28&lt;&gt;""))+SUMPRODUCT(($B30=$AT28)*($AP28=$AP30)*($AP28&lt;&gt;""))+SUMPRODUCT(($B28=$AT28)*($AQ28=$AQ30)*($AQ28&lt;&gt;""))+SUMPRODUCT(($B30=$AT28)*($AQ28=$AQ30)*($AP28&lt;&gt;""))</f>
        <v>0</v>
      </c>
      <c r="AX28" s="93">
        <f>SUMPRODUCT(($B28=$AT28)*($AP28&lt;$AP30))+SUMPRODUCT(($B30=$AT28)*($AP28&gt;$AP30))+SUMPRODUCT(($B28=$AT28)*($AQ28&lt;$AQ30))+SUMPRODUCT(($B30=$AT28)*($AQ28&gt;$AQ30))</f>
        <v>1</v>
      </c>
      <c r="AY28" s="93">
        <f>AP28+AQ28</f>
        <v>2</v>
      </c>
      <c r="AZ28" s="93">
        <f>AP30+AQ30</f>
        <v>2</v>
      </c>
      <c r="BA28" s="93">
        <f>AY28-AZ28</f>
        <v>0</v>
      </c>
      <c r="BB28" s="94">
        <f>AV28*3+AW28</f>
        <v>3</v>
      </c>
      <c r="BC28" s="95">
        <f>AS28</f>
        <v>1</v>
      </c>
      <c r="BD28" s="96">
        <f>IF(AT28="","",VALUE(CONCATENATE(TEXT(RANK(BB28,$BB28:$BB30),"00"))))</f>
        <v>1</v>
      </c>
      <c r="BE28" s="97">
        <f>COUNTIF($BD28:$BD30,BD28)</f>
        <v>2</v>
      </c>
      <c r="BF28" s="96">
        <f>RANK(BA28,$BA28:$BA30)</f>
        <v>1</v>
      </c>
      <c r="BG28" s="97">
        <f>COUNTIF($BF28:$BF30,BF28)</f>
        <v>2</v>
      </c>
      <c r="BH28" s="97">
        <f>IF(BG28=1,"",SUM(($B28=$AT28)*(NOT(ISNA(MATCH($B30,IF($BE28:$BE30&gt;1,$AT28:$AT30,0),0))))*($G28))+SUM(($B30=$AT28)*(NOT(ISNA(MATCH($B28,IF($BE28:$BE30&gt;1,$AT28:$AT30,0),0))))*($G30)))</f>
        <v>2</v>
      </c>
      <c r="BI28" s="96">
        <f>IF(BH28="","",RANK(BH28,$BH28:$BH30))</f>
        <v>1</v>
      </c>
      <c r="BJ28" s="98">
        <f>VALUE(BD28&amp;BF28&amp;BI28)</f>
        <v>111</v>
      </c>
      <c r="BK28" s="83"/>
      <c r="BL28" s="99"/>
      <c r="BM28" s="81"/>
      <c r="BN28" s="81"/>
      <c r="BO28" s="100"/>
      <c r="BP28" s="81"/>
      <c r="BQ28" s="101"/>
      <c r="BR28" s="101"/>
      <c r="BS28" s="101"/>
      <c r="BT28" s="101"/>
      <c r="BU28" s="101"/>
      <c r="BV28" s="101"/>
      <c r="BW28" s="101"/>
      <c r="BX28" s="81"/>
      <c r="BY28" s="85"/>
      <c r="BZ28" s="81"/>
      <c r="CA28" s="81"/>
      <c r="CB28" s="81"/>
      <c r="CC28" s="81"/>
      <c r="CD28" s="102"/>
      <c r="CE28" s="81"/>
      <c r="CF28" s="99"/>
      <c r="CG28" s="81"/>
      <c r="CH28" s="81"/>
      <c r="CI28" s="100"/>
      <c r="CJ28" s="81"/>
      <c r="CK28" s="101"/>
      <c r="CL28" s="101"/>
      <c r="CM28" s="101"/>
      <c r="CN28" s="101"/>
      <c r="CO28" s="101"/>
      <c r="CP28" s="101"/>
      <c r="CQ28" s="101"/>
      <c r="CR28" s="81"/>
      <c r="CS28" s="85"/>
      <c r="CT28" s="81"/>
      <c r="CU28" s="81"/>
      <c r="CV28" s="81"/>
      <c r="CW28" s="81"/>
      <c r="CX28" s="102"/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/>
      <c r="DO28" s="81"/>
      <c r="DP28" s="81"/>
      <c r="DQ28" s="81"/>
      <c r="DR28" s="81"/>
      <c r="DS28" s="81"/>
    </row>
    <row r="29" spans="1:123" s="75" customFormat="1" ht="3" customHeight="1" thickBot="1" x14ac:dyDescent="0.35">
      <c r="A29" s="119"/>
      <c r="B29" s="103"/>
      <c r="C29" s="141"/>
      <c r="D29" s="136"/>
      <c r="E29" s="130"/>
      <c r="F29" s="131"/>
      <c r="G29" s="104"/>
      <c r="H29" s="217"/>
      <c r="I29" s="106"/>
      <c r="J29" s="76"/>
      <c r="K29" s="232"/>
      <c r="L29" s="86"/>
      <c r="M29" s="86"/>
      <c r="V29" s="82"/>
      <c r="W29" s="82"/>
      <c r="AB29" s="236"/>
      <c r="AM29" s="117"/>
      <c r="AN29" s="99"/>
      <c r="AO29" s="99"/>
      <c r="AP29" s="99"/>
      <c r="AQ29" s="99"/>
      <c r="AR29" s="86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99"/>
      <c r="BM29" s="99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1"/>
      <c r="DQ29" s="81"/>
      <c r="DR29" s="81"/>
      <c r="DS29" s="81"/>
    </row>
    <row r="30" spans="1:123" s="75" customFormat="1" ht="18.75" customHeight="1" thickTop="1" thickBot="1" x14ac:dyDescent="0.25">
      <c r="A30" s="119" t="s">
        <v>13</v>
      </c>
      <c r="B30" s="139" t="str">
        <f>IF('2ndAB'!M8&lt;120,"Nr. 14.",'2ndAB'!A16)</f>
        <v>Sanek</v>
      </c>
      <c r="C30" s="142"/>
      <c r="D30" s="142"/>
      <c r="E30" s="144">
        <v>2</v>
      </c>
      <c r="F30" s="135">
        <v>0</v>
      </c>
      <c r="G30" s="107">
        <v>1</v>
      </c>
      <c r="H30" s="218">
        <v>1</v>
      </c>
      <c r="I30" s="109"/>
      <c r="J30" s="110"/>
      <c r="K30" s="138" t="str">
        <f>IF(AU28&lt;2,"3. vs. 14.",IF(AS28=AS30,"3. vs. 14.",IF(F30="","3. vs. 14.",(IF(AND(BG28=2,G30=""),"3. vs. 14.",VLOOKUP(AR28,AS28:AT30,2,0))))))</f>
        <v>Bomb</v>
      </c>
      <c r="L30" s="140"/>
      <c r="M30" s="140"/>
      <c r="N30" s="143">
        <v>3</v>
      </c>
      <c r="O30" s="134">
        <v>0</v>
      </c>
      <c r="P30" s="87"/>
      <c r="Q30" s="88" t="s">
        <v>94</v>
      </c>
      <c r="V30" s="82"/>
      <c r="W30" s="82"/>
      <c r="AB30" s="138" t="str">
        <f>IF(AU54&lt;1,"Loser SF 1",IF(AS54=AS56,"Loser SF 1",IF(W12="","Loser SF 1",(IF(AND(BG54=2,X12=""),"Loser SF 1",VLOOKUP(AR56,AS54:AT56,2,0))))))</f>
        <v>DjowGer</v>
      </c>
      <c r="AC30" s="140"/>
      <c r="AD30" s="140"/>
      <c r="AE30" s="143">
        <v>4</v>
      </c>
      <c r="AF30" s="134">
        <v>1</v>
      </c>
      <c r="AG30" s="87"/>
      <c r="AH30" s="88" t="s">
        <v>94</v>
      </c>
      <c r="AM30" s="117"/>
      <c r="AN30" s="89">
        <f>IF(AP30="",0,IF(AP28&lt;AP30,3,IF(AP28=AP30,1,0)))</f>
        <v>3</v>
      </c>
      <c r="AO30" s="89">
        <f>IF(AQ30="",0,IF(AQ28&lt;AQ30,3,IF(AQ28=AP30,1,0)))</f>
        <v>1</v>
      </c>
      <c r="AP30" s="86">
        <f>IF(E28="","",IF(E30="","",E30))</f>
        <v>2</v>
      </c>
      <c r="AQ30" s="86">
        <f>IF(F28="","",IF(F30="","",F30))</f>
        <v>0</v>
      </c>
      <c r="AR30" s="86">
        <v>2</v>
      </c>
      <c r="AS30" s="111">
        <f>IF(BJ30="","",RANK(BJ30,$BJ28:$BJ30,1))</f>
        <v>2</v>
      </c>
      <c r="AT30" s="112" t="str">
        <f>B30</f>
        <v>Sanek</v>
      </c>
      <c r="AU30" s="113">
        <f>SUM(AV30:AX30)</f>
        <v>2</v>
      </c>
      <c r="AV30" s="114">
        <f>AX28</f>
        <v>1</v>
      </c>
      <c r="AW30" s="114">
        <f>AW28</f>
        <v>0</v>
      </c>
      <c r="AX30" s="114">
        <f>AV28</f>
        <v>1</v>
      </c>
      <c r="AY30" s="114">
        <f>AP30+AQ30</f>
        <v>2</v>
      </c>
      <c r="AZ30" s="114">
        <f>AP28+AQ28</f>
        <v>2</v>
      </c>
      <c r="BA30" s="114">
        <f>AY30-AZ30</f>
        <v>0</v>
      </c>
      <c r="BB30" s="115">
        <f>AV30*3+AW30</f>
        <v>3</v>
      </c>
      <c r="BC30" s="95">
        <f>AS30</f>
        <v>2</v>
      </c>
      <c r="BD30" s="96">
        <f>IF(AT30="","",VALUE(CONCATENATE(TEXT(RANK(BB30,$BB28:$BB30),"00"))))</f>
        <v>1</v>
      </c>
      <c r="BE30" s="97">
        <f>COUNTIF($BD28:$BD30,BD30)</f>
        <v>2</v>
      </c>
      <c r="BF30" s="96">
        <f>RANK(BA30,$BA28:$BA30)</f>
        <v>1</v>
      </c>
      <c r="BG30" s="97">
        <f>COUNTIF($BF28:$BF30,BF30)</f>
        <v>2</v>
      </c>
      <c r="BH30" s="97">
        <f>IF(BG30=1,"",SUM(($B28=$AT30)*(NOT(ISNA(MATCH($B30,IF($BE28:$BE30&gt;1,$AT28:$AT30,0),0))))*($G28))+SUM(($B30=$AT30)*(NOT(ISNA(MATCH($B28,IF($BE28:$BE30&gt;1,$AT28:$AT30,0),0))))*($G30)))</f>
        <v>1</v>
      </c>
      <c r="BI30" s="96">
        <f>IF(BH30="","",RANK(BH30,$BH28:$BH30))</f>
        <v>2</v>
      </c>
      <c r="BJ30" s="98">
        <f>VALUE(BD30&amp;BF30&amp;BI30)</f>
        <v>112</v>
      </c>
      <c r="BK30" s="83"/>
      <c r="BL30" s="99"/>
      <c r="BM30" s="81"/>
      <c r="BN30" s="81"/>
      <c r="BO30" s="100"/>
      <c r="BP30" s="81"/>
      <c r="BQ30" s="101"/>
      <c r="BR30" s="101"/>
      <c r="BS30" s="101"/>
      <c r="BT30" s="101"/>
      <c r="BU30" s="101"/>
      <c r="BV30" s="101"/>
      <c r="BW30" s="101"/>
      <c r="BX30" s="81"/>
      <c r="BY30" s="85"/>
      <c r="BZ30" s="81"/>
      <c r="CA30" s="81"/>
      <c r="CB30" s="81"/>
      <c r="CC30" s="81"/>
      <c r="CD30" s="102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102"/>
      <c r="CQ30" s="81"/>
      <c r="CR30" s="81"/>
      <c r="CS30" s="81"/>
      <c r="CT30" s="102"/>
      <c r="CU30" s="81"/>
      <c r="CV30" s="81"/>
      <c r="CW30" s="81"/>
      <c r="CX30" s="81"/>
      <c r="CY30" s="81"/>
      <c r="CZ30" s="99"/>
      <c r="DA30" s="81"/>
      <c r="DB30" s="81"/>
      <c r="DC30" s="100"/>
      <c r="DD30" s="81"/>
      <c r="DE30" s="101"/>
      <c r="DF30" s="101"/>
      <c r="DG30" s="101"/>
      <c r="DH30" s="101"/>
      <c r="DI30" s="101"/>
      <c r="DJ30" s="101"/>
      <c r="DK30" s="101"/>
      <c r="DL30" s="81"/>
      <c r="DM30" s="85"/>
      <c r="DN30" s="81"/>
      <c r="DO30" s="81"/>
      <c r="DP30" s="81"/>
      <c r="DQ30" s="81"/>
      <c r="DR30" s="102"/>
      <c r="DS30" s="81"/>
    </row>
    <row r="31" spans="1:123" s="75" customFormat="1" ht="10.5" customHeight="1" thickTop="1" thickBot="1" x14ac:dyDescent="0.35">
      <c r="A31" s="119"/>
      <c r="B31" s="86"/>
      <c r="C31" s="137"/>
      <c r="D31" s="137"/>
      <c r="E31" s="132"/>
      <c r="F31" s="132"/>
      <c r="G31" s="76"/>
      <c r="H31" s="74"/>
      <c r="I31" s="109"/>
      <c r="J31" s="116"/>
      <c r="K31" s="103" t="s">
        <v>19</v>
      </c>
      <c r="L31" s="141"/>
      <c r="M31" s="136"/>
      <c r="N31" s="130"/>
      <c r="O31" s="131"/>
      <c r="P31" s="104"/>
      <c r="Q31" s="105"/>
      <c r="V31" s="82"/>
      <c r="W31" s="82"/>
      <c r="AB31" s="103" t="s">
        <v>19</v>
      </c>
      <c r="AC31" s="141"/>
      <c r="AD31" s="136"/>
      <c r="AE31" s="130"/>
      <c r="AF31" s="131"/>
      <c r="AG31" s="104"/>
      <c r="AH31" s="105"/>
      <c r="AM31" s="117"/>
      <c r="AN31" s="99"/>
      <c r="AO31" s="99"/>
      <c r="AP31" s="99"/>
      <c r="AQ31" s="99"/>
      <c r="AR31" s="86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99"/>
      <c r="BM31" s="99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CX31" s="81"/>
      <c r="CY31" s="81"/>
      <c r="CZ31" s="99"/>
      <c r="DA31" s="99"/>
      <c r="DB31" s="81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</row>
    <row r="32" spans="1:123" s="75" customFormat="1" ht="18.75" customHeight="1" thickTop="1" thickBot="1" x14ac:dyDescent="0.25">
      <c r="A32" s="119" t="s">
        <v>5</v>
      </c>
      <c r="B32" s="138" t="str">
        <f>IF('Master res'!T10&lt;60,"Nr. 6.",'Master res'!H20)</f>
        <v>AbelXavier</v>
      </c>
      <c r="C32" s="140"/>
      <c r="D32" s="140"/>
      <c r="E32" s="143">
        <v>4</v>
      </c>
      <c r="F32" s="134">
        <v>0</v>
      </c>
      <c r="G32" s="87"/>
      <c r="H32" s="88" t="s">
        <v>94</v>
      </c>
      <c r="I32" s="109"/>
      <c r="J32" s="110"/>
      <c r="K32" s="139" t="str">
        <f>IF(AU32&lt;2,"6. vs. 11.",IF(AS32=AS34,"6. vs. 11.",IF(F34="","6. vs. 11.",(IF(AND(BG32=2,G34=""),"6. vs. 11.",VLOOKUP(AR32,AS32:AT34,2,0))))))</f>
        <v>AbelXavier</v>
      </c>
      <c r="L32" s="142"/>
      <c r="M32" s="142"/>
      <c r="N32" s="144">
        <v>0</v>
      </c>
      <c r="O32" s="135">
        <v>0</v>
      </c>
      <c r="P32" s="107"/>
      <c r="Q32" s="108"/>
      <c r="V32" s="82"/>
      <c r="W32" s="82"/>
      <c r="AB32" s="139" t="str">
        <f>IF(AU58&lt;1,"Loser SF 2",IF(AS58=AS60,"Loser SF 2",IF(W28="","Loser SF 2",(IF(AND(BG58=2,X28=""),"Loser SF 2",VLOOKUP(AR60,AS58:AT60,2,0))))))</f>
        <v>Bomb</v>
      </c>
      <c r="AC32" s="142"/>
      <c r="AD32" s="142"/>
      <c r="AE32" s="144">
        <v>1</v>
      </c>
      <c r="AF32" s="135">
        <v>0</v>
      </c>
      <c r="AG32" s="107"/>
      <c r="AH32" s="108"/>
      <c r="AM32" s="117"/>
      <c r="AN32" s="89">
        <f>IF(AP32="",0,IF(AP34&lt;AP32,3,IF(AP34=AP32,1,0)))</f>
        <v>3</v>
      </c>
      <c r="AO32" s="89">
        <f>IF(AQ32="",0,IF(AQ34&lt;AQ32,3,IF(AQ34=AP32,1,0)))</f>
        <v>0</v>
      </c>
      <c r="AP32" s="86">
        <f>IF(E32="","",IF(E34="","",E32))</f>
        <v>4</v>
      </c>
      <c r="AQ32" s="86">
        <f>IF(F32="","",IF(F34="","",F32))</f>
        <v>0</v>
      </c>
      <c r="AR32" s="86">
        <v>1</v>
      </c>
      <c r="AS32" s="90">
        <f>IF(BJ32="","",RANK(BJ32,$BJ32:$BJ34,1))</f>
        <v>1</v>
      </c>
      <c r="AT32" s="91" t="str">
        <f>B32</f>
        <v>AbelXavier</v>
      </c>
      <c r="AU32" s="92">
        <f>SUM(AV32:AX32)</f>
        <v>2</v>
      </c>
      <c r="AV32" s="93">
        <f>SUMPRODUCT(($B32=$AT32)*($AP32&gt;$AP34))+SUMPRODUCT(($B34=$AT32)*($AP32&lt;$AP34))+SUMPRODUCT(($B32=$AT32)*($AQ32&gt;$AQ34))+SUMPRODUCT(($B34=$AT32)*($AQ32&lt;$AQ34))</f>
        <v>1</v>
      </c>
      <c r="AW32" s="93">
        <f>SUMPRODUCT(($B32=$AT32)*($AP32=$AP34)*($AP32&lt;&gt;""))+SUMPRODUCT(($B34=$AT32)*($AP32=$AP34)*($AP32&lt;&gt;""))+SUMPRODUCT(($B32=$AT32)*($AQ32=$AQ34)*($AQ32&lt;&gt;""))+SUMPRODUCT(($B34=$AT32)*($AQ32=$AQ34)*($AP32&lt;&gt;""))</f>
        <v>0</v>
      </c>
      <c r="AX32" s="93">
        <f>SUMPRODUCT(($B32=$AT32)*($AP32&lt;$AP34))+SUMPRODUCT(($B34=$AT32)*($AP32&gt;$AP34))+SUMPRODUCT(($B32=$AT32)*($AQ32&lt;$AQ34))+SUMPRODUCT(($B34=$AT32)*($AQ32&gt;$AQ34))</f>
        <v>1</v>
      </c>
      <c r="AY32" s="93">
        <f>AP32+AQ32</f>
        <v>4</v>
      </c>
      <c r="AZ32" s="93">
        <f>AP34+AQ34</f>
        <v>3</v>
      </c>
      <c r="BA32" s="93">
        <f>AY32-AZ32</f>
        <v>1</v>
      </c>
      <c r="BB32" s="94">
        <f>AV32*3+AW32</f>
        <v>3</v>
      </c>
      <c r="BC32" s="95">
        <f>AS32</f>
        <v>1</v>
      </c>
      <c r="BD32" s="96">
        <f>IF(AT32="","",VALUE(CONCATENATE(TEXT(RANK(BB32,$BB32:$BB34),"00"))))</f>
        <v>1</v>
      </c>
      <c r="BE32" s="97">
        <f>COUNTIF($BD32:$BD34,BD32)</f>
        <v>2</v>
      </c>
      <c r="BF32" s="96">
        <f>RANK(BA32,$BA32:$BA34)</f>
        <v>1</v>
      </c>
      <c r="BG32" s="97">
        <f>COUNTIF($BF32:$BF34,BF32)</f>
        <v>1</v>
      </c>
      <c r="BH32" s="97" t="str">
        <f>IF(BG32=1,"",SUM(($B32=$AT32)*(NOT(ISNA(MATCH($B34,IF($BE32:$BE34&gt;1,$AT32:$AT34,0),0))))*($G32))+SUM(($B34=$AT32)*(NOT(ISNA(MATCH($B32,IF($BE32:$BE34&gt;1,$AT32:$AT34,0),0))))*($G34)))</f>
        <v/>
      </c>
      <c r="BI32" s="96" t="str">
        <f>IF(BH32="","",RANK(BH32,$BH32:$BH34))</f>
        <v/>
      </c>
      <c r="BJ32" s="98">
        <f>VALUE(BD32&amp;BF32&amp;BI32)</f>
        <v>11</v>
      </c>
      <c r="BK32" s="83"/>
      <c r="BL32" s="99"/>
      <c r="BM32" s="81"/>
      <c r="BN32" s="81"/>
      <c r="BO32" s="100"/>
      <c r="BP32" s="81"/>
      <c r="BQ32" s="101"/>
      <c r="BR32" s="101"/>
      <c r="BS32" s="101"/>
      <c r="BT32" s="101"/>
      <c r="BU32" s="101"/>
      <c r="BV32" s="101"/>
      <c r="BW32" s="101"/>
      <c r="BX32" s="81"/>
      <c r="BY32" s="85"/>
      <c r="BZ32" s="81"/>
      <c r="CA32" s="81"/>
      <c r="CB32" s="81"/>
      <c r="CC32" s="81"/>
      <c r="CD32" s="102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102"/>
      <c r="CQ32" s="81"/>
      <c r="CR32" s="81"/>
      <c r="CS32" s="81"/>
      <c r="CT32" s="102"/>
      <c r="CU32" s="81"/>
      <c r="CV32" s="81"/>
      <c r="CW32" s="81"/>
      <c r="CX32" s="81"/>
      <c r="CY32" s="81"/>
      <c r="CZ32" s="99"/>
      <c r="DA32" s="81"/>
      <c r="DB32" s="81"/>
      <c r="DC32" s="100"/>
      <c r="DD32" s="81"/>
      <c r="DE32" s="101"/>
      <c r="DF32" s="101"/>
      <c r="DG32" s="101"/>
      <c r="DH32" s="101"/>
      <c r="DI32" s="101"/>
      <c r="DJ32" s="101"/>
      <c r="DK32" s="101"/>
      <c r="DL32" s="81"/>
      <c r="DM32" s="85"/>
      <c r="DN32" s="81"/>
      <c r="DO32" s="81"/>
      <c r="DP32" s="81"/>
      <c r="DQ32" s="81"/>
      <c r="DR32" s="102"/>
      <c r="DS32" s="81"/>
    </row>
    <row r="33" spans="1:123" s="75" customFormat="1" ht="3" customHeight="1" thickBot="1" x14ac:dyDescent="0.35">
      <c r="A33" s="119"/>
      <c r="B33" s="103"/>
      <c r="C33" s="141"/>
      <c r="D33" s="136"/>
      <c r="E33" s="130"/>
      <c r="F33" s="131"/>
      <c r="G33" s="104"/>
      <c r="H33" s="105"/>
      <c r="I33" s="106"/>
      <c r="J33" s="76"/>
      <c r="V33" s="82"/>
      <c r="W33" s="82"/>
      <c r="AM33" s="117"/>
      <c r="AN33" s="99"/>
      <c r="AO33" s="99"/>
      <c r="AP33" s="99"/>
      <c r="AQ33" s="99"/>
      <c r="AR33" s="86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99"/>
      <c r="BM33" s="99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</row>
    <row r="34" spans="1:123" s="75" customFormat="1" ht="18.75" customHeight="1" thickBot="1" x14ac:dyDescent="0.35">
      <c r="A34" s="119" t="s">
        <v>10</v>
      </c>
      <c r="B34" s="139" t="str">
        <f>IF('Super res'!T10&lt;60,"Nr. 11.",'Super res'!H19)</f>
        <v>Klaris</v>
      </c>
      <c r="C34" s="142"/>
      <c r="D34" s="142"/>
      <c r="E34" s="144">
        <v>2</v>
      </c>
      <c r="F34" s="135">
        <v>1</v>
      </c>
      <c r="G34" s="107"/>
      <c r="H34" s="108"/>
      <c r="J34" s="76"/>
      <c r="V34" s="82"/>
      <c r="W34" s="82"/>
      <c r="AM34" s="117"/>
      <c r="AN34" s="89">
        <f>IF(AP34="",0,IF(AP32&lt;AP34,3,IF(AP32=AP34,1,0)))</f>
        <v>0</v>
      </c>
      <c r="AO34" s="89">
        <f>IF(AQ34="",0,IF(AQ32&lt;AQ34,3,IF(AQ32=AP34,1,0)))</f>
        <v>3</v>
      </c>
      <c r="AP34" s="86">
        <f>IF(E32="","",IF(E34="","",E34))</f>
        <v>2</v>
      </c>
      <c r="AQ34" s="86">
        <f>IF(F32="","",IF(F34="","",F34))</f>
        <v>1</v>
      </c>
      <c r="AR34" s="86">
        <v>2</v>
      </c>
      <c r="AS34" s="111">
        <f>IF(BJ34="","",RANK(BJ34,$BJ32:$BJ34,1))</f>
        <v>2</v>
      </c>
      <c r="AT34" s="112" t="str">
        <f>B34</f>
        <v>Klaris</v>
      </c>
      <c r="AU34" s="113">
        <f>SUM(AV34:AX34)</f>
        <v>2</v>
      </c>
      <c r="AV34" s="114">
        <f>AX32</f>
        <v>1</v>
      </c>
      <c r="AW34" s="114">
        <f>AW32</f>
        <v>0</v>
      </c>
      <c r="AX34" s="114">
        <f>AV32</f>
        <v>1</v>
      </c>
      <c r="AY34" s="114">
        <f>AP34+AQ34</f>
        <v>3</v>
      </c>
      <c r="AZ34" s="114">
        <f>AP32+AQ32</f>
        <v>4</v>
      </c>
      <c r="BA34" s="114">
        <f>AY34-AZ34</f>
        <v>-1</v>
      </c>
      <c r="BB34" s="115">
        <f>AV34*3+AW34</f>
        <v>3</v>
      </c>
      <c r="BC34" s="95">
        <f>AS34</f>
        <v>2</v>
      </c>
      <c r="BD34" s="96">
        <f>IF(AT34="","",VALUE(CONCATENATE(TEXT(RANK(BB34,$BB32:$BB34),"00"))))</f>
        <v>1</v>
      </c>
      <c r="BE34" s="97">
        <f>COUNTIF($BD32:$BD34,BD34)</f>
        <v>2</v>
      </c>
      <c r="BF34" s="96">
        <f>RANK(BA34,$BA32:$BA34)</f>
        <v>2</v>
      </c>
      <c r="BG34" s="97">
        <f>COUNTIF($BF32:$BF34,BF34)</f>
        <v>1</v>
      </c>
      <c r="BH34" s="97" t="str">
        <f>IF(BG34=1,"",SUM(($B32=$AT34)*(NOT(ISNA(MATCH($B34,IF($BE32:$BE34&gt;1,$AT32:$AT34,0),0))))*($G32))+SUM(($B34=$AT34)*(NOT(ISNA(MATCH($B32,IF($BE32:$BE34&gt;1,$AT32:$AT34,0),0))))*($G34)))</f>
        <v/>
      </c>
      <c r="BI34" s="96" t="str">
        <f>IF(BH34="","",RANK(BH34,$BH32:$BH34))</f>
        <v/>
      </c>
      <c r="BJ34" s="98">
        <f>VALUE(BD34&amp;BF34&amp;BI34)</f>
        <v>12</v>
      </c>
      <c r="BK34" s="83"/>
      <c r="BL34" s="99"/>
      <c r="BM34" s="81"/>
      <c r="BN34" s="81"/>
      <c r="BO34" s="100"/>
      <c r="BP34" s="81"/>
      <c r="BQ34" s="101"/>
      <c r="BR34" s="101"/>
      <c r="BS34" s="101"/>
      <c r="BT34" s="101"/>
      <c r="BU34" s="101"/>
      <c r="BV34" s="101"/>
      <c r="BW34" s="101"/>
      <c r="BX34" s="81"/>
      <c r="BY34" s="85"/>
      <c r="BZ34" s="81"/>
      <c r="CA34" s="81"/>
      <c r="CB34" s="81"/>
      <c r="CC34" s="81"/>
      <c r="CD34" s="102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102"/>
      <c r="CQ34" s="81"/>
      <c r="CR34" s="81"/>
      <c r="CS34" s="81"/>
      <c r="CT34" s="102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</row>
    <row r="35" spans="1:123" ht="15" thickTop="1" x14ac:dyDescent="0.3">
      <c r="C35" s="133"/>
      <c r="D35" s="133"/>
      <c r="E35" s="133"/>
      <c r="F35" s="133"/>
    </row>
    <row r="36" spans="1:123" ht="23.4" thickBot="1" x14ac:dyDescent="0.35">
      <c r="AN36" s="75"/>
      <c r="AO36" s="75"/>
      <c r="AP36" s="75"/>
      <c r="AQ36" s="75"/>
      <c r="AR36" s="75"/>
      <c r="AS36" s="83" t="s">
        <v>88</v>
      </c>
      <c r="AT36" s="83" t="s">
        <v>35</v>
      </c>
      <c r="AU36" s="83" t="s">
        <v>73</v>
      </c>
      <c r="AV36" s="83" t="s">
        <v>52</v>
      </c>
      <c r="AW36" s="83" t="s">
        <v>53</v>
      </c>
      <c r="AX36" s="83" t="s">
        <v>54</v>
      </c>
      <c r="AY36" s="83" t="s">
        <v>70</v>
      </c>
      <c r="AZ36" s="83" t="s">
        <v>69</v>
      </c>
      <c r="BA36" s="83" t="s">
        <v>57</v>
      </c>
      <c r="BB36" s="83" t="s">
        <v>58</v>
      </c>
      <c r="BC36" s="83"/>
      <c r="BD36" s="84" t="s">
        <v>89</v>
      </c>
      <c r="BE36" s="84" t="s">
        <v>90</v>
      </c>
      <c r="BF36" s="84" t="s">
        <v>96</v>
      </c>
      <c r="BG36" s="84" t="s">
        <v>97</v>
      </c>
      <c r="BH36" s="84" t="s">
        <v>91</v>
      </c>
      <c r="BI36" s="84" t="s">
        <v>92</v>
      </c>
      <c r="BJ36" s="84" t="s">
        <v>93</v>
      </c>
    </row>
    <row r="37" spans="1:123" x14ac:dyDescent="0.3">
      <c r="AN37" s="89">
        <f>IF(AP37="",0,IF(AP39&lt;AP37,3,IF(AP39=AP37,1,0)))</f>
        <v>3</v>
      </c>
      <c r="AO37" s="89">
        <f>IF(AQ37="",0,IF(AQ39&lt;AQ37,3,IF(AQ39=AQ37,1,0)))</f>
        <v>3</v>
      </c>
      <c r="AP37" s="86">
        <f>IF(N6="","",IF(N8="","",N6))</f>
        <v>3</v>
      </c>
      <c r="AQ37" s="86">
        <f>IF(O6="","",IF(O8="","",O6))</f>
        <v>3</v>
      </c>
      <c r="AR37" s="86">
        <v>1</v>
      </c>
      <c r="AS37" s="90">
        <f>IF(BJ37="","",RANK(BJ37,$BJ37:$BJ39,1))</f>
        <v>1</v>
      </c>
      <c r="AT37" s="91" t="str">
        <f>K6</f>
        <v>Playaveli</v>
      </c>
      <c r="AU37" s="92">
        <f>SUM(AV37:AX37)</f>
        <v>2</v>
      </c>
      <c r="AV37" s="93">
        <f>SUMPRODUCT(($K6=$AT37)*($AP37&gt;$AP39))+SUMPRODUCT(($K8=$AT37)*($AP37&lt;$AP39))+SUMPRODUCT(($K6=$AT37)*($AQ37&gt;$AQ39))+SUMPRODUCT(($K8=$AT37)*($AQ37&lt;$AQ39))</f>
        <v>2</v>
      </c>
      <c r="AW37" s="93">
        <f>SUMPRODUCT(($K6=$AT37)*($AP37=$AP39)*($AP37&lt;&gt;""))+SUMPRODUCT(($K8=$AT37)*($AP37=$AP39)*($AP37&lt;&gt;""))+SUMPRODUCT(($K6=$AT37)*($AQ37=$AQ39)*($AQ37&lt;&gt;""))+SUMPRODUCT(($K8=$AT37)*($AQ37=$AQ39)*($AP37&lt;&gt;""))</f>
        <v>0</v>
      </c>
      <c r="AX37" s="93">
        <f>SUMPRODUCT(($K6=$AT37)*($AP37&lt;$AP39))+SUMPRODUCT(($K8=$AT37)*($AP37&gt;$AP39))+SUMPRODUCT(($K6=$AT37)*($AQ37&lt;$AQ39))+SUMPRODUCT(($K8=$AT37)*($AQ37&gt;$AQ39))</f>
        <v>0</v>
      </c>
      <c r="AY37" s="93">
        <f>AP37+AQ37</f>
        <v>6</v>
      </c>
      <c r="AZ37" s="93">
        <f>AP39+AQ39</f>
        <v>2</v>
      </c>
      <c r="BA37" s="93">
        <f>AY37-AZ37</f>
        <v>4</v>
      </c>
      <c r="BB37" s="94">
        <f>AV37*3+AW37</f>
        <v>6</v>
      </c>
      <c r="BC37" s="95">
        <f>AS37</f>
        <v>1</v>
      </c>
      <c r="BD37" s="96">
        <f>IF(AT37="","",VALUE(CONCATENATE(TEXT(RANK(BB37,$BB37:$BB39),"00"))))</f>
        <v>1</v>
      </c>
      <c r="BE37" s="97">
        <f>COUNTIF($BD37:$BD39,BD37)</f>
        <v>1</v>
      </c>
      <c r="BF37" s="96">
        <f>RANK(BA37,$BA37:$BA39)</f>
        <v>1</v>
      </c>
      <c r="BG37" s="97">
        <f>COUNTIF($BF37:$BF39,BF37)</f>
        <v>1</v>
      </c>
      <c r="BH37" s="97" t="str">
        <f>IF(BG37=1,"",SUM(($K6=$AT37)*(NOT(ISNA(MATCH($K8,IF($BE37:$BE39&gt;1,$AT37:$AT39,0),0))))*($P6))+SUM(($K8=$AT37)*(NOT(ISNA(MATCH($K6,IF($BE37:$BE39&gt;1,$AT37:$AT39,0),0))))*($P8)))</f>
        <v/>
      </c>
      <c r="BI37" s="96" t="str">
        <f>IF(BH37="","",RANK(BH37,$BH37:$BH39))</f>
        <v/>
      </c>
      <c r="BJ37" s="98">
        <f>VALUE(BD37&amp;BF37&amp;BI37)</f>
        <v>11</v>
      </c>
    </row>
    <row r="38" spans="1:123" ht="3" customHeight="1" x14ac:dyDescent="0.3">
      <c r="AN38" s="99"/>
      <c r="AO38" s="99"/>
      <c r="AP38" s="99"/>
      <c r="AQ38" s="99"/>
      <c r="AR38" s="86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</row>
    <row r="39" spans="1:123" ht="15" thickBot="1" x14ac:dyDescent="0.35">
      <c r="AN39" s="89">
        <f>IF(AP39="",0,IF(AP37&lt;AP39,3,IF(AP37=AP39,1,0)))</f>
        <v>0</v>
      </c>
      <c r="AO39" s="89">
        <f>IF(AQ39="",0,IF(AQ37&lt;AQ39,3,IF(AQ37=AQ39,1,0)))</f>
        <v>0</v>
      </c>
      <c r="AP39" s="86">
        <f>IF(N6="","",IF(N8="","",N8))</f>
        <v>0</v>
      </c>
      <c r="AQ39" s="86">
        <f>IF(O6="","",IF(O8="","",O8))</f>
        <v>2</v>
      </c>
      <c r="AR39" s="86">
        <v>2</v>
      </c>
      <c r="AS39" s="111">
        <f>IF(BJ39="","",RANK(BJ39,$BJ37:$BJ39,1))</f>
        <v>2</v>
      </c>
      <c r="AT39" s="112" t="str">
        <f>K8</f>
        <v>Andib</v>
      </c>
      <c r="AU39" s="113">
        <f>SUM(AV39:AX39)</f>
        <v>2</v>
      </c>
      <c r="AV39" s="114">
        <f>AX37</f>
        <v>0</v>
      </c>
      <c r="AW39" s="114">
        <f>AW37</f>
        <v>0</v>
      </c>
      <c r="AX39" s="114">
        <f>AV37</f>
        <v>2</v>
      </c>
      <c r="AY39" s="114">
        <f>AP39+AQ39</f>
        <v>2</v>
      </c>
      <c r="AZ39" s="114">
        <f>AP37+AQ37</f>
        <v>6</v>
      </c>
      <c r="BA39" s="114">
        <f>AY39-AZ39</f>
        <v>-4</v>
      </c>
      <c r="BB39" s="115">
        <f>AV39*3+AW39</f>
        <v>0</v>
      </c>
      <c r="BC39" s="95">
        <f>AS39</f>
        <v>2</v>
      </c>
      <c r="BD39" s="96">
        <f>IF(AT39="","",VALUE(CONCATENATE(TEXT(RANK(BB39,$BB37:$BB39),"00"))))</f>
        <v>2</v>
      </c>
      <c r="BE39" s="97">
        <f>COUNTIF($BD37:$BD39,BD39)</f>
        <v>1</v>
      </c>
      <c r="BF39" s="96">
        <f>RANK(BA39,$BA37:$BA39)</f>
        <v>2</v>
      </c>
      <c r="BG39" s="97">
        <f>COUNTIF($BF37:$BF39,BF39)</f>
        <v>1</v>
      </c>
      <c r="BH39" s="97" t="str">
        <f>IF(BG39=1,"",SUM(($K6=$AT39)*(NOT(ISNA(MATCH($K8,IF($BE37:$BE39&gt;1,$AT37:$AT39,0),0))))*($P6))+SUM(($K8=$AT39)*(NOT(ISNA(MATCH($K6,IF($BE37:$BE39&gt;1,$AT37:$AT39,0),0))))*($P8)))</f>
        <v/>
      </c>
      <c r="BI39" s="96" t="str">
        <f>IF(BH39="","",RANK(BH39,$BH37:$BH39))</f>
        <v/>
      </c>
      <c r="BJ39" s="98">
        <f>VALUE(BD39&amp;BF39&amp;BI39)</f>
        <v>22</v>
      </c>
    </row>
    <row r="40" spans="1:123" ht="10.199999999999999" customHeight="1" thickBot="1" x14ac:dyDescent="0.35"/>
    <row r="41" spans="1:123" x14ac:dyDescent="0.3">
      <c r="AN41" s="89">
        <f>IF(AP41="",0,IF(AP43&lt;AP41,3,IF(AP43=AP41,1,0)))</f>
        <v>3</v>
      </c>
      <c r="AO41" s="89">
        <f>IF(AQ41="",0,IF(AQ43&lt;AQ41,3,IF(AQ43=AQ41,1,0)))</f>
        <v>3</v>
      </c>
      <c r="AP41" s="86">
        <f>IF(N14="","",IF(N16="","",N14))</f>
        <v>2</v>
      </c>
      <c r="AQ41" s="86">
        <f>IF(O14="","",IF(O16="","",O14))</f>
        <v>1</v>
      </c>
      <c r="AR41" s="86">
        <v>1</v>
      </c>
      <c r="AS41" s="90">
        <f>IF(BJ41="","",RANK(BJ41,$BJ41:$BJ43,1))</f>
        <v>1</v>
      </c>
      <c r="AT41" s="91" t="str">
        <f>K14</f>
        <v>DjowGer</v>
      </c>
      <c r="AU41" s="92">
        <f>SUM(AV41:AX41)</f>
        <v>2</v>
      </c>
      <c r="AV41" s="93">
        <f>SUMPRODUCT(($K14=$AT41)*($AP41&gt;$AP43))+SUMPRODUCT(($K16=$AT41)*($AP41&lt;$AP43))+SUMPRODUCT(($K14=$AT41)*($AQ41&gt;$AQ43))+SUMPRODUCT(($K16=$AT41)*($AQ41&lt;$AQ43))</f>
        <v>2</v>
      </c>
      <c r="AW41" s="93">
        <f>SUMPRODUCT(($K14=$AT41)*($AP41=$AP43)*($AP41&lt;&gt;""))+SUMPRODUCT(($K16=$AT41)*($AP41=$AP43)*($AP41&lt;&gt;""))+SUMPRODUCT(($K14=$AT41)*($AQ41=$AQ43)*($AQ41&lt;&gt;""))+SUMPRODUCT(($K16=$AT41)*($AQ41=$AQ43)*($AP41&lt;&gt;""))</f>
        <v>0</v>
      </c>
      <c r="AX41" s="93">
        <f>SUMPRODUCT(($K14=$AT41)*($AP41&lt;$AP43))+SUMPRODUCT(($K16=$AT41)*($AP41&gt;$AP43))+SUMPRODUCT(($K14=$AT41)*($AQ41&lt;$AQ43))+SUMPRODUCT(($K16=$AT41)*($AQ41&gt;$AQ43))</f>
        <v>0</v>
      </c>
      <c r="AY41" s="93">
        <f>AP41+AQ41</f>
        <v>3</v>
      </c>
      <c r="AZ41" s="93">
        <f>AP43+AQ43</f>
        <v>1</v>
      </c>
      <c r="BA41" s="93">
        <f>AY41-AZ41</f>
        <v>2</v>
      </c>
      <c r="BB41" s="94">
        <f>AV41*3+AW41</f>
        <v>6</v>
      </c>
      <c r="BC41" s="95">
        <f>AS41</f>
        <v>1</v>
      </c>
      <c r="BD41" s="96">
        <f>IF(AT41="","",VALUE(CONCATENATE(TEXT(RANK(BB41,$BB41:$BB43),"00"))))</f>
        <v>1</v>
      </c>
      <c r="BE41" s="97">
        <f>COUNTIF($BD41:$BD43,BD41)</f>
        <v>1</v>
      </c>
      <c r="BF41" s="96">
        <f>RANK(BA41,$BA41:$BA43)</f>
        <v>1</v>
      </c>
      <c r="BG41" s="97">
        <f>COUNTIF($BF41:$BF43,BF41)</f>
        <v>1</v>
      </c>
      <c r="BH41" s="97" t="str">
        <f>IF(BG41=1,"",SUM(($K14=$AT41)*(NOT(ISNA(MATCH($K16,IF($BE41:$BE43&gt;1,$AT41:$AT43,0),0))))*($P14))+SUM(($K16=$AT41)*(NOT(ISNA(MATCH($K14,IF($BE41:$BE43&gt;1,$AT41:$AT43,0),0))))*($P16)))</f>
        <v/>
      </c>
      <c r="BI41" s="96" t="str">
        <f>IF(BH41="","",RANK(BH41,$BH41:$BH43))</f>
        <v/>
      </c>
      <c r="BJ41" s="98">
        <f>VALUE(BD41&amp;BF41&amp;BI41)</f>
        <v>11</v>
      </c>
    </row>
    <row r="42" spans="1:123" ht="3" customHeight="1" x14ac:dyDescent="0.3">
      <c r="AN42" s="99"/>
      <c r="AO42" s="99"/>
      <c r="AP42" s="99"/>
      <c r="AQ42" s="99"/>
      <c r="AR42" s="86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</row>
    <row r="43" spans="1:123" ht="15" thickBot="1" x14ac:dyDescent="0.35">
      <c r="AN43" s="89">
        <f>IF(AP43="",0,IF(AP41&lt;AP43,3,IF(AP41=AP43,1,0)))</f>
        <v>0</v>
      </c>
      <c r="AO43" s="89">
        <f>IF(AQ43="",0,IF(AQ41&lt;AQ43,3,IF(AQ41=AQ43,1,0)))</f>
        <v>0</v>
      </c>
      <c r="AP43" s="86">
        <f>IF(N14="","",IF(N16="","",N16))</f>
        <v>1</v>
      </c>
      <c r="AQ43" s="86">
        <f>IF(O14="","",IF(O16="","",O16))</f>
        <v>0</v>
      </c>
      <c r="AR43" s="86">
        <v>2</v>
      </c>
      <c r="AS43" s="111">
        <f>IF(BJ43="","",RANK(BJ43,$BJ41:$BJ43,1))</f>
        <v>2</v>
      </c>
      <c r="AT43" s="112" t="str">
        <f>K16</f>
        <v>bobbiebobras</v>
      </c>
      <c r="AU43" s="113">
        <f>SUM(AV43:AX43)</f>
        <v>2</v>
      </c>
      <c r="AV43" s="114">
        <f>AX41</f>
        <v>0</v>
      </c>
      <c r="AW43" s="114">
        <f>AW41</f>
        <v>0</v>
      </c>
      <c r="AX43" s="114">
        <f>AV41</f>
        <v>2</v>
      </c>
      <c r="AY43" s="114">
        <f>AP43+AQ43</f>
        <v>1</v>
      </c>
      <c r="AZ43" s="114">
        <f>AP41+AQ41</f>
        <v>3</v>
      </c>
      <c r="BA43" s="114">
        <f>AY43-AZ43</f>
        <v>-2</v>
      </c>
      <c r="BB43" s="115">
        <f>AV43*3+AW43</f>
        <v>0</v>
      </c>
      <c r="BC43" s="95">
        <f>AS43</f>
        <v>2</v>
      </c>
      <c r="BD43" s="96">
        <f>IF(AT43="","",VALUE(CONCATENATE(TEXT(RANK(BB43,$BB41:$BB43),"00"))))</f>
        <v>2</v>
      </c>
      <c r="BE43" s="97">
        <f>COUNTIF($BD41:$BD43,BD43)</f>
        <v>1</v>
      </c>
      <c r="BF43" s="96">
        <f>RANK(BA43,$BA41:$BA43)</f>
        <v>2</v>
      </c>
      <c r="BG43" s="97">
        <f>COUNTIF($BF41:$BF43,BF43)</f>
        <v>1</v>
      </c>
      <c r="BH43" s="97" t="str">
        <f>IF(BG43=1,"",SUM(($K14=$AT43)*(NOT(ISNA(MATCH($K16,IF($BE41:$BE43&gt;1,$AT41:$AT43,0),0))))*($P14))+SUM(($K16=$AT43)*(NOT(ISNA(MATCH($K14,IF($BE41:$BE43&gt;1,$AT41:$AT43,0),0))))*($P16)))</f>
        <v/>
      </c>
      <c r="BI43" s="96" t="str">
        <f>IF(BH43="","",RANK(BH43,$BH41:$BH43))</f>
        <v/>
      </c>
      <c r="BJ43" s="98">
        <f>VALUE(BD43&amp;BF43&amp;BI43)</f>
        <v>22</v>
      </c>
    </row>
    <row r="44" spans="1:123" ht="10.199999999999999" customHeight="1" thickBot="1" x14ac:dyDescent="0.35"/>
    <row r="45" spans="1:123" x14ac:dyDescent="0.3">
      <c r="AN45" s="89">
        <f>IF(AP45="",0,IF(AP47&lt;AP45,3,IF(AP47=AP45,1,0)))</f>
        <v>0</v>
      </c>
      <c r="AO45" s="89">
        <f>IF(AQ45="",0,IF(AQ47&lt;AQ45,3,IF(AQ47=AQ45,1,0)))</f>
        <v>1</v>
      </c>
      <c r="AP45" s="86">
        <f>IF(N22="","",IF(N24="","",N22))</f>
        <v>2</v>
      </c>
      <c r="AQ45" s="86">
        <f>IF(O22="","",IF(O24="","",O22))</f>
        <v>2</v>
      </c>
      <c r="AR45" s="86">
        <v>1</v>
      </c>
      <c r="AS45" s="90">
        <f>IF(BJ45="","",RANK(BJ45,$BJ45:$BJ47,1))</f>
        <v>2</v>
      </c>
      <c r="AT45" s="91" t="str">
        <f>K22</f>
        <v>Lobo</v>
      </c>
      <c r="AU45" s="92">
        <f>SUM(AV45:AX45)</f>
        <v>2</v>
      </c>
      <c r="AV45" s="93">
        <f>SUMPRODUCT(($K22=$AT45)*($AP45&gt;$AP47))+SUMPRODUCT(($K24=$AT45)*($AP45&lt;$AP47))+SUMPRODUCT(($K22=$AT45)*($AQ45&gt;$AQ47))+SUMPRODUCT(($K24=$AT45)*($AQ45&lt;$AQ47))</f>
        <v>0</v>
      </c>
      <c r="AW45" s="93">
        <f>SUMPRODUCT(($K22=$AT45)*($AP45=$AP47)*($AP45&lt;&gt;""))+SUMPRODUCT(($K24=$AT45)*($AP45=$AP47)*($AP45&lt;&gt;""))+SUMPRODUCT(($K22=$AT45)*($AQ45=$AQ47)*($AQ45&lt;&gt;""))+SUMPRODUCT(($K24=$AT45)*($AQ45=$AQ47)*($AP45&lt;&gt;""))</f>
        <v>1</v>
      </c>
      <c r="AX45" s="93">
        <f>SUMPRODUCT(($K22=$AT45)*($AP45&lt;$AP47))+SUMPRODUCT(($K24=$AT45)*($AP45&gt;$AP47))+SUMPRODUCT(($K22=$AT45)*($AQ45&lt;$AQ47))+SUMPRODUCT(($K24=$AT45)*($AQ45&gt;$AQ47))</f>
        <v>1</v>
      </c>
      <c r="AY45" s="93">
        <f>AP45+AQ45</f>
        <v>4</v>
      </c>
      <c r="AZ45" s="93">
        <f>AP47+AQ47</f>
        <v>6</v>
      </c>
      <c r="BA45" s="93">
        <f>AY45-AZ45</f>
        <v>-2</v>
      </c>
      <c r="BB45" s="94">
        <f>AV45*3+AW45</f>
        <v>1</v>
      </c>
      <c r="BC45" s="95">
        <f>AS45</f>
        <v>2</v>
      </c>
      <c r="BD45" s="96">
        <f>IF(AT45="","",VALUE(CONCATENATE(TEXT(RANK(BB45,$BB45:$BB47),"00"))))</f>
        <v>2</v>
      </c>
      <c r="BE45" s="97">
        <f>COUNTIF($BD45:$BD47,BD45)</f>
        <v>1</v>
      </c>
      <c r="BF45" s="96">
        <f>RANK(BA45,$BA45:$BA47)</f>
        <v>2</v>
      </c>
      <c r="BG45" s="97">
        <f>COUNTIF($BF45:$BF47,BF45)</f>
        <v>1</v>
      </c>
      <c r="BH45" s="97" t="str">
        <f>IF(BG45=1,"",SUM(($K22=$AT45)*(NOT(ISNA(MATCH($K24,IF($BE45:$BE47&gt;1,$AT45:$AT47,0),0))))*($P22))+SUM(($K24=$AT45)*(NOT(ISNA(MATCH($K22,IF($BE45:$BE47&gt;1,$AT45:$AT47,0),0))))*($P24)))</f>
        <v/>
      </c>
      <c r="BI45" s="96" t="str">
        <f>IF(BH45="","",RANK(BH45,$BH45:$BH47))</f>
        <v/>
      </c>
      <c r="BJ45" s="98">
        <f>VALUE(BD45&amp;BF45&amp;BI45)</f>
        <v>22</v>
      </c>
    </row>
    <row r="46" spans="1:123" ht="3" customHeight="1" x14ac:dyDescent="0.3">
      <c r="AN46" s="99"/>
      <c r="AO46" s="99"/>
      <c r="AP46" s="99"/>
      <c r="AQ46" s="99"/>
      <c r="AR46" s="86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</row>
    <row r="47" spans="1:123" ht="15" thickBot="1" x14ac:dyDescent="0.35">
      <c r="AN47" s="89">
        <f>IF(AP47="",0,IF(AP45&lt;AP47,3,IF(AP45=AP47,1,0)))</f>
        <v>3</v>
      </c>
      <c r="AO47" s="89">
        <f>IF(AQ47="",0,IF(AQ45&lt;AQ47,3,IF(AQ45=AQ47,1,0)))</f>
        <v>1</v>
      </c>
      <c r="AP47" s="86">
        <f>IF(N22="","",IF(N24="","",N24))</f>
        <v>4</v>
      </c>
      <c r="AQ47" s="86">
        <f>IF(O22="","",IF(O24="","",O24))</f>
        <v>2</v>
      </c>
      <c r="AR47" s="86">
        <v>2</v>
      </c>
      <c r="AS47" s="111">
        <f>IF(BJ47="","",RANK(BJ47,$BJ45:$BJ47,1))</f>
        <v>1</v>
      </c>
      <c r="AT47" s="112" t="str">
        <f>K24</f>
        <v>Blazej</v>
      </c>
      <c r="AU47" s="113">
        <f>SUM(AV47:AX47)</f>
        <v>2</v>
      </c>
      <c r="AV47" s="114">
        <f>AX45</f>
        <v>1</v>
      </c>
      <c r="AW47" s="114">
        <f>AW45</f>
        <v>1</v>
      </c>
      <c r="AX47" s="114">
        <f>AV45</f>
        <v>0</v>
      </c>
      <c r="AY47" s="114">
        <f>AP47+AQ47</f>
        <v>6</v>
      </c>
      <c r="AZ47" s="114">
        <f>AP45+AQ45</f>
        <v>4</v>
      </c>
      <c r="BA47" s="114">
        <f>AY47-AZ47</f>
        <v>2</v>
      </c>
      <c r="BB47" s="115">
        <f>AV47*3+AW47</f>
        <v>4</v>
      </c>
      <c r="BC47" s="95">
        <f>AS47</f>
        <v>1</v>
      </c>
      <c r="BD47" s="96">
        <f>IF(AT47="","",VALUE(CONCATENATE(TEXT(RANK(BB47,$BB45:$BB47),"00"))))</f>
        <v>1</v>
      </c>
      <c r="BE47" s="97">
        <f>COUNTIF($BD45:$BD47,BD47)</f>
        <v>1</v>
      </c>
      <c r="BF47" s="96">
        <f>RANK(BA47,$BA45:$BA47)</f>
        <v>1</v>
      </c>
      <c r="BG47" s="97">
        <f>COUNTIF($BF45:$BF47,BF47)</f>
        <v>1</v>
      </c>
      <c r="BH47" s="97" t="str">
        <f>IF(BG47=1,"",SUM(($K22=$AT47)*(NOT(ISNA(MATCH($K24,IF($BE45:$BE47&gt;1,$AT45:$AT47,0),0))))*($P22))+SUM(($K24=$AT47)*(NOT(ISNA(MATCH($K22,IF($BE45:$BE47&gt;1,$AT45:$AT47,0),0))))*($P24)))</f>
        <v/>
      </c>
      <c r="BI47" s="96" t="str">
        <f>IF(BH47="","",RANK(BH47,$BH45:$BH47))</f>
        <v/>
      </c>
      <c r="BJ47" s="98">
        <f>VALUE(BD47&amp;BF47&amp;BI47)</f>
        <v>11</v>
      </c>
    </row>
    <row r="48" spans="1:123" ht="10.199999999999999" customHeight="1" thickBot="1" x14ac:dyDescent="0.35"/>
    <row r="49" spans="40:62" x14ac:dyDescent="0.3">
      <c r="AN49" s="89">
        <f>IF(AP49="",0,IF(AP51&lt;AP49,3,IF(AP51=AP49,1,0)))</f>
        <v>3</v>
      </c>
      <c r="AO49" s="89">
        <f>IF(AQ49="",0,IF(AQ51&lt;AQ49,3,IF(AQ51=AQ49,1,0)))</f>
        <v>1</v>
      </c>
      <c r="AP49" s="86">
        <f>IF(N30="","",IF(N32="","",N30))</f>
        <v>3</v>
      </c>
      <c r="AQ49" s="86">
        <f>IF(O30="","",IF(O32="","",O30))</f>
        <v>0</v>
      </c>
      <c r="AR49" s="86">
        <v>1</v>
      </c>
      <c r="AS49" s="90">
        <f>IF(BJ49="","",RANK(BJ49,$BJ49:$BJ51,1))</f>
        <v>1</v>
      </c>
      <c r="AT49" s="91" t="str">
        <f>K30</f>
        <v>Bomb</v>
      </c>
      <c r="AU49" s="92">
        <f>SUM(AV49:AX49)</f>
        <v>2</v>
      </c>
      <c r="AV49" s="93">
        <f>SUMPRODUCT(($K30=$AT49)*($AP49&gt;$AP51))+SUMPRODUCT(($K32=$AT49)*($AP49&lt;$AP51))+SUMPRODUCT(($K30=$AT49)*($AQ49&gt;$AQ51))+SUMPRODUCT(($K32=$AT49)*($AQ49&lt;$AQ51))</f>
        <v>1</v>
      </c>
      <c r="AW49" s="93">
        <f>SUMPRODUCT(($K30=$AT49)*($AP49=$AP51)*($AP49&lt;&gt;""))+SUMPRODUCT(($K32=$AT49)*($AP49=$AP51)*($AP49&lt;&gt;""))+SUMPRODUCT(($K30=$AT49)*($AQ49=$AQ51)*($AQ49&lt;&gt;""))+SUMPRODUCT(($K32=$AT49)*($AQ49=$AQ51)*($AP49&lt;&gt;""))</f>
        <v>1</v>
      </c>
      <c r="AX49" s="93">
        <f>SUMPRODUCT(($K30=$AT49)*($AP49&lt;$AP51))+SUMPRODUCT(($K32=$AT49)*($AP49&gt;$AP51))+SUMPRODUCT(($K30=$AT49)*($AQ49&lt;$AQ51))+SUMPRODUCT(($K32=$AT49)*($AQ49&gt;$AQ51))</f>
        <v>0</v>
      </c>
      <c r="AY49" s="93">
        <f>AP49+AQ49</f>
        <v>3</v>
      </c>
      <c r="AZ49" s="93">
        <f>AP51+AQ51</f>
        <v>0</v>
      </c>
      <c r="BA49" s="93">
        <f>AY49-AZ49</f>
        <v>3</v>
      </c>
      <c r="BB49" s="94">
        <f>AV49*3+AW49</f>
        <v>4</v>
      </c>
      <c r="BC49" s="95">
        <f>AS49</f>
        <v>1</v>
      </c>
      <c r="BD49" s="96">
        <f>IF(AT49="","",VALUE(CONCATENATE(TEXT(RANK(BB49,$BB49:$BB51),"00"))))</f>
        <v>1</v>
      </c>
      <c r="BE49" s="97">
        <f>COUNTIF($BD49:$BD51,BD49)</f>
        <v>1</v>
      </c>
      <c r="BF49" s="96">
        <f>RANK(BA49,$BA49:$BA51)</f>
        <v>1</v>
      </c>
      <c r="BG49" s="97">
        <f>COUNTIF($BF49:$BF51,BF49)</f>
        <v>1</v>
      </c>
      <c r="BH49" s="97" t="str">
        <f>IF(BG49=1,"",SUM(($K30=$AT49)*(NOT(ISNA(MATCH($K32,IF($BE49:$BE51&gt;1,$AT49:$AT51,0),0))))*($P30))+SUM(($K32=$AT49)*(NOT(ISNA(MATCH($K30,IF($BE49:$BE51&gt;1,$AT49:$AT51,0),0))))*($P32)))</f>
        <v/>
      </c>
      <c r="BI49" s="96" t="str">
        <f>IF(BH49="","",RANK(BH49,$BH49:$BH51))</f>
        <v/>
      </c>
      <c r="BJ49" s="98">
        <f>VALUE(BD49&amp;BF49&amp;BI49)</f>
        <v>11</v>
      </c>
    </row>
    <row r="50" spans="40:62" ht="3" customHeight="1" x14ac:dyDescent="0.3">
      <c r="AN50" s="99"/>
      <c r="AO50" s="99"/>
      <c r="AP50" s="99"/>
      <c r="AQ50" s="99"/>
      <c r="AR50" s="86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</row>
    <row r="51" spans="40:62" ht="15" thickBot="1" x14ac:dyDescent="0.35">
      <c r="AN51" s="89">
        <f>IF(AP51="",0,IF(AP49&lt;AP51,3,IF(AP49=AP51,1,0)))</f>
        <v>0</v>
      </c>
      <c r="AO51" s="89">
        <f>IF(AQ51="",0,IF(AQ49&lt;AQ51,3,IF(AQ49=AQ51,1,0)))</f>
        <v>1</v>
      </c>
      <c r="AP51" s="86">
        <f>IF(N30="","",IF(N32="","",N32))</f>
        <v>0</v>
      </c>
      <c r="AQ51" s="86">
        <f>IF(O30="","",IF(O32="","",O32))</f>
        <v>0</v>
      </c>
      <c r="AR51" s="86">
        <v>2</v>
      </c>
      <c r="AS51" s="111">
        <f>IF(BJ51="","",RANK(BJ51,$BJ49:$BJ51,1))</f>
        <v>2</v>
      </c>
      <c r="AT51" s="112" t="str">
        <f>K32</f>
        <v>AbelXavier</v>
      </c>
      <c r="AU51" s="113">
        <f>SUM(AV51:AX51)</f>
        <v>2</v>
      </c>
      <c r="AV51" s="114">
        <f>AX49</f>
        <v>0</v>
      </c>
      <c r="AW51" s="114">
        <f>AW49</f>
        <v>1</v>
      </c>
      <c r="AX51" s="114">
        <f>AV49</f>
        <v>1</v>
      </c>
      <c r="AY51" s="114">
        <f>AP51+AQ51</f>
        <v>0</v>
      </c>
      <c r="AZ51" s="114">
        <f>AP49+AQ49</f>
        <v>3</v>
      </c>
      <c r="BA51" s="114">
        <f>AY51-AZ51</f>
        <v>-3</v>
      </c>
      <c r="BB51" s="115">
        <f>AV51*3+AW51</f>
        <v>1</v>
      </c>
      <c r="BC51" s="95">
        <f>AS51</f>
        <v>2</v>
      </c>
      <c r="BD51" s="96">
        <f>IF(AT51="","",VALUE(CONCATENATE(TEXT(RANK(BB51,$BB49:$BB51),"00"))))</f>
        <v>2</v>
      </c>
      <c r="BE51" s="97">
        <f>COUNTIF($BD49:$BD51,BD51)</f>
        <v>1</v>
      </c>
      <c r="BF51" s="96">
        <f>RANK(BA51,$BA49:$BA51)</f>
        <v>2</v>
      </c>
      <c r="BG51" s="97">
        <f>COUNTIF($BF49:$BF51,BF51)</f>
        <v>1</v>
      </c>
      <c r="BH51" s="97" t="str">
        <f>IF(BG51=1,"",SUM(($K30=$AT51)*(NOT(ISNA(MATCH($K32,IF($BE49:$BE51&gt;1,$AT49:$AT51,0),0))))*($P30))+SUM(($K32=$AT51)*(NOT(ISNA(MATCH($K30,IF($BE49:$BE51&gt;1,$AT49:$AT51,0),0))))*($P32)))</f>
        <v/>
      </c>
      <c r="BI51" s="96" t="str">
        <f>IF(BH51="","",RANK(BH51,$BH49:$BH51))</f>
        <v/>
      </c>
      <c r="BJ51" s="98">
        <f>VALUE(BD51&amp;BF51&amp;BI51)</f>
        <v>22</v>
      </c>
    </row>
    <row r="53" spans="40:62" ht="15" thickBot="1" x14ac:dyDescent="0.35"/>
    <row r="54" spans="40:62" x14ac:dyDescent="0.3">
      <c r="AN54" s="89">
        <f>IF(AP54="",0,IF(AP56&lt;AP54,3,IF(AP56=AP54,1,0)))</f>
        <v>3</v>
      </c>
      <c r="AO54" s="89">
        <f>IF(AQ54="",0,IF(AQ56&lt;AQ54,3,IF(AQ56=AQ54,1,0)))</f>
        <v>1</v>
      </c>
      <c r="AP54" s="86">
        <f>IF(V10="","",IF(V12="","",V10))</f>
        <v>4</v>
      </c>
      <c r="AQ54" s="86">
        <f>IF(W10="","",IF(W12="","",W10))</f>
        <v>2</v>
      </c>
      <c r="AR54" s="86">
        <v>1</v>
      </c>
      <c r="AS54" s="90">
        <f>IF(BJ54="","",RANK(BJ54,$BJ54:$BJ56,1))</f>
        <v>1</v>
      </c>
      <c r="AT54" s="91" t="str">
        <f>S10</f>
        <v>Playaveli</v>
      </c>
      <c r="AU54" s="92">
        <f>SUM(AV54:AX54)</f>
        <v>2</v>
      </c>
      <c r="AV54" s="93">
        <f>SUMPRODUCT(($S10=$AT54)*($AP54&gt;$AP56))+SUMPRODUCT(($S12=$AT54)*($AP54&lt;$AP56))+SUMPRODUCT(($S10=$AT54)*($AQ54&gt;$AQ56))+SUMPRODUCT(($S12=$AT54)*($AQ54&lt;$AQ56))</f>
        <v>1</v>
      </c>
      <c r="AW54" s="93">
        <f>SUMPRODUCT(($S10=$AT54)*($AP54=$AP56)*($AP54&lt;&gt;""))+SUMPRODUCT(($S12=$AT54)*($AP54=$AP56)*($AP54&lt;&gt;""))+SUMPRODUCT(($S10=$AT54)*($AQ54=$AQ56)*($AQ54&lt;&gt;""))+SUMPRODUCT(($S12=$AT54)*($AQ54=$AQ56)*($AP54&lt;&gt;""))</f>
        <v>1</v>
      </c>
      <c r="AX54" s="93">
        <f>SUMPRODUCT(($S10=$AT54)*($AP54&lt;$AP56))+SUMPRODUCT(($S12=$AT54)*($AP54&gt;$AP56))+SUMPRODUCT(($S10=$AT54)*($AQ54&lt;$AQ56))+SUMPRODUCT(($S12=$AT54)*($AQ54&gt;$AQ56))</f>
        <v>0</v>
      </c>
      <c r="AY54" s="93">
        <f>AP54+AQ54</f>
        <v>6</v>
      </c>
      <c r="AZ54" s="93">
        <f>AP56+AQ56</f>
        <v>3</v>
      </c>
      <c r="BA54" s="93">
        <f>AY54-AZ54</f>
        <v>3</v>
      </c>
      <c r="BB54" s="94">
        <f>AV54*3+AW54</f>
        <v>4</v>
      </c>
      <c r="BC54" s="95">
        <f>AS54</f>
        <v>1</v>
      </c>
      <c r="BD54" s="96">
        <f>IF(AT54="","",VALUE(CONCATENATE(TEXT(RANK(BB54,$BB54:$BB56),"00"))))</f>
        <v>1</v>
      </c>
      <c r="BE54" s="97">
        <f>COUNTIF($BD54:$BD56,BD54)</f>
        <v>1</v>
      </c>
      <c r="BF54" s="96">
        <f>RANK(BA54,$BA54:$BA56)</f>
        <v>1</v>
      </c>
      <c r="BG54" s="97">
        <f>COUNTIF($BF54:$BF56,BF54)</f>
        <v>1</v>
      </c>
      <c r="BH54" s="97" t="str">
        <f>IF(BG54=1,"",SUM(($S10=$AT54)*(NOT(ISNA(MATCH($S12,IF($BE54:$BE56&gt;1,$AT54:$AT56,0),0))))*($X10))+SUM(($S12=$AT54)*(NOT(ISNA(MATCH($S10,IF($BE54:$BE56&gt;1,$AT54:$AT56,0),0))))*($X12)))</f>
        <v/>
      </c>
      <c r="BI54" s="96" t="str">
        <f>IF(BH54="","",RANK(BH54,$BH54:$BH56))</f>
        <v/>
      </c>
      <c r="BJ54" s="98">
        <f>VALUE(BD54&amp;BF54&amp;BI54)</f>
        <v>11</v>
      </c>
    </row>
    <row r="55" spans="40:62" ht="3" customHeight="1" x14ac:dyDescent="0.3">
      <c r="AN55" s="99"/>
      <c r="AO55" s="99"/>
      <c r="AP55" s="99"/>
      <c r="AQ55" s="99"/>
      <c r="AR55" s="86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</row>
    <row r="56" spans="40:62" ht="15" thickBot="1" x14ac:dyDescent="0.35">
      <c r="AN56" s="89">
        <f>IF(AP56="",0,IF(AP54&lt;AP56,3,IF(AP54=AP56,1,0)))</f>
        <v>0</v>
      </c>
      <c r="AO56" s="89">
        <f>IF(AQ56="",0,IF(AQ54&lt;AQ56,3,IF(AQ54=AQ56,1,0)))</f>
        <v>1</v>
      </c>
      <c r="AP56" s="86">
        <f>IF(V10="","",IF(V12="","",V12))</f>
        <v>1</v>
      </c>
      <c r="AQ56" s="86">
        <f>IF(W10="","",IF(W12="","",W12))</f>
        <v>2</v>
      </c>
      <c r="AR56" s="86">
        <v>2</v>
      </c>
      <c r="AS56" s="111">
        <f>IF(BJ56="","",RANK(BJ56,$BJ54:$BJ56,1))</f>
        <v>2</v>
      </c>
      <c r="AT56" s="112" t="str">
        <f>S12</f>
        <v>DjowGer</v>
      </c>
      <c r="AU56" s="113">
        <f>SUM(AV56:AX56)</f>
        <v>2</v>
      </c>
      <c r="AV56" s="114">
        <f>AX54</f>
        <v>0</v>
      </c>
      <c r="AW56" s="114">
        <f>AW54</f>
        <v>1</v>
      </c>
      <c r="AX56" s="114">
        <f>AV54</f>
        <v>1</v>
      </c>
      <c r="AY56" s="114">
        <f>AP56+AQ56</f>
        <v>3</v>
      </c>
      <c r="AZ56" s="114">
        <f>AP54+AQ54</f>
        <v>6</v>
      </c>
      <c r="BA56" s="114">
        <f>AY56-AZ56</f>
        <v>-3</v>
      </c>
      <c r="BB56" s="115">
        <f>AV56*3+AW56</f>
        <v>1</v>
      </c>
      <c r="BC56" s="95">
        <f>AS56</f>
        <v>2</v>
      </c>
      <c r="BD56" s="96">
        <f>IF(AT56="","",VALUE(CONCATENATE(TEXT(RANK(BB56,$BB54:$BB56),"00"))))</f>
        <v>2</v>
      </c>
      <c r="BE56" s="97">
        <f>COUNTIF($BD54:$BD56,BD56)</f>
        <v>1</v>
      </c>
      <c r="BF56" s="96">
        <f>RANK(BA56,$BA54:$BA56)</f>
        <v>2</v>
      </c>
      <c r="BG56" s="97">
        <f>COUNTIF($BF54:$BF56,BF56)</f>
        <v>1</v>
      </c>
      <c r="BH56" s="97" t="str">
        <f>IF(BG56=1,"",SUM(($S10=$AT56)*(NOT(ISNA(MATCH($S12,IF($BE54:$BE56&gt;1,$AT54:$AT56,0),0))))*($X10))+SUM(($S12=$AT56)*(NOT(ISNA(MATCH($S10,IF($BE54:$BE56&gt;1,$AT54:$AT56,0),0))))*($X12)))</f>
        <v/>
      </c>
      <c r="BI56" s="96" t="str">
        <f>IF(BH56="","",RANK(BH56,$BH54:$BH56))</f>
        <v/>
      </c>
      <c r="BJ56" s="98">
        <f>VALUE(BD56&amp;BF56&amp;BI56)</f>
        <v>22</v>
      </c>
    </row>
    <row r="57" spans="40:62" ht="10.199999999999999" customHeight="1" thickBot="1" x14ac:dyDescent="0.35"/>
    <row r="58" spans="40:62" x14ac:dyDescent="0.3">
      <c r="AN58" s="89">
        <f>IF(AP58="",0,IF(AP60&lt;AP58,3,IF(AP60=AP58,1,0)))</f>
        <v>3</v>
      </c>
      <c r="AO58" s="89">
        <f>IF(AQ58="",0,IF(AQ60&lt;AQ58,3,IF(AQ60=AQ58,1,0)))</f>
        <v>0</v>
      </c>
      <c r="AP58" s="86">
        <f>IF(V26="","",IF(V28="","",V26))</f>
        <v>4</v>
      </c>
      <c r="AQ58" s="86">
        <f>IF(W26="","",IF(W28="","",W26))</f>
        <v>0</v>
      </c>
      <c r="AR58" s="86">
        <v>1</v>
      </c>
      <c r="AS58" s="90">
        <f>IF(BJ58="","",RANK(BJ58,$BJ58:$BJ60,1))</f>
        <v>1</v>
      </c>
      <c r="AT58" s="91" t="str">
        <f>S26</f>
        <v>Blazej</v>
      </c>
      <c r="AU58" s="92">
        <f>SUM(AV58:AX58)</f>
        <v>2</v>
      </c>
      <c r="AV58" s="93">
        <f>SUMPRODUCT(($S26=$AT58)*($AP58&gt;$AP60))+SUMPRODUCT(($S28=$AT58)*($AP58&lt;$AP60))+SUMPRODUCT(($S26=$AT58)*($AQ58&gt;$AQ60))+SUMPRODUCT(($S28=$AT58)*($AQ58&lt;$AQ60))</f>
        <v>1</v>
      </c>
      <c r="AW58" s="93">
        <f>SUMPRODUCT(($S26=$AT58)*($AP58=$AP60)*($AP58&lt;&gt;""))+SUMPRODUCT(($S28=$AT58)*($AP58=$AP60)*($AP58&lt;&gt;""))+SUMPRODUCT(($S26=$AT58)*($AQ58=$AQ60)*($AQ58&lt;&gt;""))+SUMPRODUCT(($S28=$AT58)*($AQ58=$AQ60)*($AP58&lt;&gt;""))</f>
        <v>0</v>
      </c>
      <c r="AX58" s="93">
        <f>SUMPRODUCT(($S26=$AT58)*($AP58&lt;$AP60))+SUMPRODUCT(($S28=$AT58)*($AP58&gt;$AP60))+SUMPRODUCT(($S26=$AT58)*($AQ58&lt;$AQ60))+SUMPRODUCT(($S28=$AT58)*($AQ58&gt;$AQ60))</f>
        <v>1</v>
      </c>
      <c r="AY58" s="93">
        <f>AP58+AQ58</f>
        <v>4</v>
      </c>
      <c r="AZ58" s="93">
        <f>AP60+AQ60</f>
        <v>3</v>
      </c>
      <c r="BA58" s="93">
        <f>AY58-AZ58</f>
        <v>1</v>
      </c>
      <c r="BB58" s="94">
        <f>AV58*3+AW58</f>
        <v>3</v>
      </c>
      <c r="BC58" s="95">
        <f>AS58</f>
        <v>1</v>
      </c>
      <c r="BD58" s="96">
        <f>IF(AT58="","",VALUE(CONCATENATE(TEXT(RANK(BB58,$BB58:$BB60),"00"))))</f>
        <v>1</v>
      </c>
      <c r="BE58" s="97">
        <f>COUNTIF($BD58:$BD60,BD58)</f>
        <v>2</v>
      </c>
      <c r="BF58" s="96">
        <f>RANK(BA58,$BA58:$BA60)</f>
        <v>1</v>
      </c>
      <c r="BG58" s="97">
        <f>COUNTIF($BF58:$BF60,BF58)</f>
        <v>1</v>
      </c>
      <c r="BH58" s="97" t="str">
        <f>IF(BG58=1,"",SUM(($S26=$AT58)*(NOT(ISNA(MATCH($S28,IF($BE58:$BE60&gt;1,$AT58:$AT60,0),0))))*($X26))+SUM(($S28=$AT58)*(NOT(ISNA(MATCH($S26,IF($BE58:$BE60&gt;1,$AT58:$AT60,0),0))))*($X28)))</f>
        <v/>
      </c>
      <c r="BI58" s="96" t="str">
        <f>IF(BH58="","",RANK(BH58,$BH58:$BH60))</f>
        <v/>
      </c>
      <c r="BJ58" s="98">
        <f>VALUE(BD58&amp;BF58&amp;BI58)</f>
        <v>11</v>
      </c>
    </row>
    <row r="59" spans="40:62" ht="3" customHeight="1" x14ac:dyDescent="0.3">
      <c r="AN59" s="99"/>
      <c r="AO59" s="99"/>
      <c r="AP59" s="99"/>
      <c r="AQ59" s="99"/>
      <c r="AR59" s="86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</row>
    <row r="60" spans="40:62" ht="15" thickBot="1" x14ac:dyDescent="0.35">
      <c r="AN60" s="89">
        <f>IF(AP60="",0,IF(AP58&lt;AP60,3,IF(AP58=AP60,1,0)))</f>
        <v>0</v>
      </c>
      <c r="AO60" s="89">
        <f>IF(AQ60="",0,IF(AQ58&lt;AQ60,3,IF(AQ58=AQ60,1,0)))</f>
        <v>3</v>
      </c>
      <c r="AP60" s="86">
        <f>IF(V26="","",IF(V28="","",V28))</f>
        <v>2</v>
      </c>
      <c r="AQ60" s="86">
        <f>IF(W26="","",IF(W28="","",W28))</f>
        <v>1</v>
      </c>
      <c r="AR60" s="86">
        <v>2</v>
      </c>
      <c r="AS60" s="111">
        <f>IF(BJ60="","",RANK(BJ60,$BJ58:$BJ60,1))</f>
        <v>2</v>
      </c>
      <c r="AT60" s="112" t="str">
        <f>S28</f>
        <v>Bomb</v>
      </c>
      <c r="AU60" s="113">
        <f>SUM(AV60:AX60)</f>
        <v>2</v>
      </c>
      <c r="AV60" s="114">
        <f>AX58</f>
        <v>1</v>
      </c>
      <c r="AW60" s="114">
        <f>AW58</f>
        <v>0</v>
      </c>
      <c r="AX60" s="114">
        <f>AV58</f>
        <v>1</v>
      </c>
      <c r="AY60" s="114">
        <f>AP60+AQ60</f>
        <v>3</v>
      </c>
      <c r="AZ60" s="114">
        <f>AP58+AQ58</f>
        <v>4</v>
      </c>
      <c r="BA60" s="114">
        <f>AY60-AZ60</f>
        <v>-1</v>
      </c>
      <c r="BB60" s="115">
        <f>AV60*3+AW60</f>
        <v>3</v>
      </c>
      <c r="BC60" s="95">
        <f>AS60</f>
        <v>2</v>
      </c>
      <c r="BD60" s="96">
        <f>IF(AT60="","",VALUE(CONCATENATE(TEXT(RANK(BB60,$BB58:$BB60),"00"))))</f>
        <v>1</v>
      </c>
      <c r="BE60" s="97">
        <f>COUNTIF($BD58:$BD60,BD60)</f>
        <v>2</v>
      </c>
      <c r="BF60" s="96">
        <f>RANK(BA60,$BA58:$BA60)</f>
        <v>2</v>
      </c>
      <c r="BG60" s="97">
        <f>COUNTIF($BF58:$BF60,BF60)</f>
        <v>1</v>
      </c>
      <c r="BH60" s="97" t="str">
        <f>IF(BG60=1,"",SUM(($S26=$AT60)*(NOT(ISNA(MATCH($S28,IF($BE58:$BE60&gt;1,$AT58:$AT60,0),0))))*($X26))+SUM(($S28=$AT60)*(NOT(ISNA(MATCH($S26,IF($BE58:$BE60&gt;1,$AT58:$AT60,0),0))))*($X28)))</f>
        <v/>
      </c>
      <c r="BI60" s="96" t="str">
        <f>IF(BH60="","",RANK(BH60,$BH58:$BH60))</f>
        <v/>
      </c>
      <c r="BJ60" s="98">
        <f>VALUE(BD60&amp;BF60&amp;BI60)</f>
        <v>12</v>
      </c>
    </row>
    <row r="61" spans="40:62" ht="10.199999999999999" customHeight="1" thickBot="1" x14ac:dyDescent="0.35"/>
    <row r="62" spans="40:62" x14ac:dyDescent="0.3">
      <c r="AN62" s="89">
        <f>IF(AP62="",0,IF(AP64&lt;AP62,3,IF(AP64=AP62,1,0)))</f>
        <v>0</v>
      </c>
      <c r="AO62" s="89">
        <f>IF(AQ62="",0,IF(AQ64&lt;AQ62,3,IF(AQ64=AQ62,1,0)))</f>
        <v>1</v>
      </c>
      <c r="AP62" s="86">
        <f>IF(AE18="","",IF(AE20="","",AE18))</f>
        <v>1</v>
      </c>
      <c r="AQ62" s="86">
        <f>IF(AF18="","",IF(AF20="","",AF18))</f>
        <v>1</v>
      </c>
      <c r="AR62" s="86">
        <v>1</v>
      </c>
      <c r="AS62" s="90">
        <f>IF(BJ62="","",RANK(BJ62,$BJ62:$BJ64,1))</f>
        <v>2</v>
      </c>
      <c r="AT62" s="91" t="str">
        <f>AB18</f>
        <v>Playaveli</v>
      </c>
      <c r="AU62" s="92">
        <f>SUM(AV62:AX62)</f>
        <v>2</v>
      </c>
      <c r="AV62" s="93">
        <f>SUMPRODUCT(($AB18=$AT62)*($AP62&gt;$AP64))+SUMPRODUCT(($AB20=$AT62)*($AP62&lt;$AP64))+SUMPRODUCT(($AB18=$AT62)*($AQ62&gt;$AQ64))+SUMPRODUCT(($AB20=$AT62)*($AQ62&lt;$AQ64))</f>
        <v>0</v>
      </c>
      <c r="AW62" s="93">
        <f>SUMPRODUCT(($AB18=$AT62)*($AP62=$AP64)*($AP62&lt;&gt;""))+SUMPRODUCT(($AB20=$AT62)*($AP62=$AP64)*($AP62&lt;&gt;""))+SUMPRODUCT(($AB18=$AT62)*($AQ62=$AQ64)*($AQ62&lt;&gt;""))+SUMPRODUCT(($AB20=$AT62)*($AQ62=$AQ64)*($AP62&lt;&gt;""))</f>
        <v>1</v>
      </c>
      <c r="AX62" s="93">
        <f>SUMPRODUCT(($AB18=$AT62)*($AP62&lt;$AP64))+SUMPRODUCT(($AB20=$AT62)*($AP62&gt;$AP64))+SUMPRODUCT(($AB18=$AT62)*($AQ62&lt;$AQ64))+SUMPRODUCT(($AB20=$AT62)*($AQ62&gt;$AQ64))</f>
        <v>1</v>
      </c>
      <c r="AY62" s="93">
        <f>AP62+AQ62</f>
        <v>2</v>
      </c>
      <c r="AZ62" s="93">
        <f>AP64+AQ64</f>
        <v>6</v>
      </c>
      <c r="BA62" s="93">
        <f>AY62-AZ62</f>
        <v>-4</v>
      </c>
      <c r="BB62" s="94">
        <f>AV62*3+AW62</f>
        <v>1</v>
      </c>
      <c r="BC62" s="95">
        <f>AS62</f>
        <v>2</v>
      </c>
      <c r="BD62" s="96">
        <f>IF(AT62="","",VALUE(CONCATENATE(TEXT(RANK(BB62,$BB62:$BB64),"00"))))</f>
        <v>2</v>
      </c>
      <c r="BE62" s="97">
        <f>COUNTIF($BD62:$BD64,BD62)</f>
        <v>1</v>
      </c>
      <c r="BF62" s="96">
        <f>RANK(BA62,$BA62:$BA64)</f>
        <v>2</v>
      </c>
      <c r="BG62" s="97">
        <f>COUNTIF($BF62:$BF64,BF62)</f>
        <v>1</v>
      </c>
      <c r="BH62" s="97" t="str">
        <f>IF(BG62=1,"",SUM(($AB18=$AT62)*(NOT(ISNA(MATCH($AB20,IF($BE62:$BE64&gt;1,$AT62:$AT64,0),0))))*($AG18))+SUM(($AB20=$AT62)*(NOT(ISNA(MATCH($AB18,IF($BE62:$BE64&gt;1,$AT62:$AT64,0),0))))*($AG20)))</f>
        <v/>
      </c>
      <c r="BI62" s="96" t="str">
        <f>IF(BH62="","",RANK(BH62,$BH62:$BH64))</f>
        <v/>
      </c>
      <c r="BJ62" s="98">
        <f>VALUE(BD62&amp;BF62&amp;BI62)</f>
        <v>22</v>
      </c>
    </row>
    <row r="63" spans="40:62" ht="3" customHeight="1" x14ac:dyDescent="0.3">
      <c r="AN63" s="99"/>
      <c r="AO63" s="99"/>
      <c r="AP63" s="99"/>
      <c r="AQ63" s="99"/>
      <c r="AR63" s="86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</row>
    <row r="64" spans="40:62" ht="15" thickBot="1" x14ac:dyDescent="0.35">
      <c r="AN64" s="89">
        <f>IF(AP64="",0,IF(AP62&lt;AP64,3,IF(AP62=AP64,1,0)))</f>
        <v>3</v>
      </c>
      <c r="AO64" s="89">
        <f>IF(AQ64="",0,IF(AQ62&lt;AQ64,3,IF(AQ62=AQ64,1,0)))</f>
        <v>1</v>
      </c>
      <c r="AP64" s="86">
        <f>IF(AE18="","",IF(AE20="","",AE20))</f>
        <v>5</v>
      </c>
      <c r="AQ64" s="86">
        <f>IF(AF18="","",IF(AF20="","",AF20))</f>
        <v>1</v>
      </c>
      <c r="AR64" s="86">
        <v>2</v>
      </c>
      <c r="AS64" s="111">
        <f>IF(BJ64="","",RANK(BJ64,$BJ62:$BJ64,1))</f>
        <v>1</v>
      </c>
      <c r="AT64" s="112" t="str">
        <f>AB20</f>
        <v>Blazej</v>
      </c>
      <c r="AU64" s="113">
        <f>SUM(AV64:AX64)</f>
        <v>2</v>
      </c>
      <c r="AV64" s="114">
        <f>AX62</f>
        <v>1</v>
      </c>
      <c r="AW64" s="114">
        <f>AW62</f>
        <v>1</v>
      </c>
      <c r="AX64" s="114">
        <f>AV62</f>
        <v>0</v>
      </c>
      <c r="AY64" s="114">
        <f>AP64+AQ64</f>
        <v>6</v>
      </c>
      <c r="AZ64" s="114">
        <f>AP62+AQ62</f>
        <v>2</v>
      </c>
      <c r="BA64" s="114">
        <f>AY64-AZ64</f>
        <v>4</v>
      </c>
      <c r="BB64" s="115">
        <f>AV64*3+AW64</f>
        <v>4</v>
      </c>
      <c r="BC64" s="95">
        <f>AS64</f>
        <v>1</v>
      </c>
      <c r="BD64" s="96">
        <f>IF(AT64="","",VALUE(CONCATENATE(TEXT(RANK(BB64,$BB62:$BB64),"00"))))</f>
        <v>1</v>
      </c>
      <c r="BE64" s="97">
        <f>COUNTIF($BD62:$BD64,BD64)</f>
        <v>1</v>
      </c>
      <c r="BF64" s="96">
        <f>RANK(BA64,$BA62:$BA64)</f>
        <v>1</v>
      </c>
      <c r="BG64" s="97">
        <f>COUNTIF($BF62:$BF64,BF64)</f>
        <v>1</v>
      </c>
      <c r="BH64" s="97" t="str">
        <f>IF(BG64=1,"",SUM(($AB18=$AT64)*(NOT(ISNA(MATCH($AB20,IF($BE62:$BE64&gt;1,$AT62:$AT64,0),0))))*($AG18))+SUM(($AB20=$AT64)*(NOT(ISNA(MATCH($AB18,IF($BE62:$BE64&gt;1,$AT62:$AT64,0),0))))*($AG20)))</f>
        <v/>
      </c>
      <c r="BI64" s="96" t="str">
        <f>IF(BH64="","",RANK(BH64,$BH62:$BH64))</f>
        <v/>
      </c>
      <c r="BJ64" s="98">
        <f>VALUE(BD64&amp;BF64&amp;BI64)</f>
        <v>11</v>
      </c>
    </row>
    <row r="65" spans="40:62" x14ac:dyDescent="0.3">
      <c r="AN65" s="99"/>
      <c r="AO65" s="99"/>
      <c r="AP65" s="86"/>
      <c r="AQ65" s="86"/>
      <c r="AR65" s="86"/>
      <c r="AS65" s="100"/>
      <c r="AT65" s="81"/>
      <c r="AU65" s="101"/>
      <c r="AV65" s="101"/>
      <c r="AW65" s="101"/>
      <c r="AX65" s="101"/>
      <c r="AY65" s="101"/>
      <c r="AZ65" s="101"/>
      <c r="BA65" s="101"/>
      <c r="BB65" s="81"/>
      <c r="BC65" s="95"/>
      <c r="BD65" s="145"/>
      <c r="BE65" s="104"/>
      <c r="BF65" s="145"/>
      <c r="BG65" s="104"/>
      <c r="BH65" s="104"/>
      <c r="BI65" s="145"/>
      <c r="BJ65" s="146"/>
    </row>
    <row r="66" spans="40:62" x14ac:dyDescent="0.3">
      <c r="AN66" s="99"/>
      <c r="AO66" s="99"/>
      <c r="AP66" s="86"/>
      <c r="AQ66" s="86"/>
      <c r="AR66" s="86"/>
      <c r="AS66" s="100"/>
      <c r="AT66" s="81"/>
      <c r="AU66" s="101"/>
      <c r="AV66" s="101"/>
      <c r="AW66" s="101"/>
      <c r="AX66" s="101"/>
      <c r="AY66" s="101"/>
      <c r="AZ66" s="101"/>
      <c r="BA66" s="101"/>
      <c r="BB66" s="81"/>
      <c r="BC66" s="95"/>
      <c r="BD66" s="145"/>
      <c r="BE66" s="104"/>
      <c r="BF66" s="145"/>
      <c r="BG66" s="104"/>
      <c r="BH66" s="104"/>
      <c r="BI66" s="145"/>
      <c r="BJ66" s="146"/>
    </row>
    <row r="67" spans="40:62" x14ac:dyDescent="0.3">
      <c r="AN67" s="99"/>
      <c r="AO67" s="99"/>
      <c r="AP67" s="86"/>
      <c r="AQ67" s="86"/>
      <c r="AR67" s="86"/>
      <c r="AS67" s="100"/>
      <c r="AT67" s="81"/>
      <c r="AU67" s="101"/>
      <c r="AV67" s="101"/>
      <c r="AW67" s="101"/>
      <c r="AX67" s="101"/>
      <c r="AY67" s="101"/>
      <c r="AZ67" s="101"/>
      <c r="BA67" s="101"/>
      <c r="BB67" s="81"/>
      <c r="BC67" s="95"/>
      <c r="BD67" s="145"/>
      <c r="BE67" s="104"/>
      <c r="BF67" s="145"/>
      <c r="BG67" s="104"/>
      <c r="BH67" s="104"/>
      <c r="BI67" s="145"/>
      <c r="BJ67" s="146"/>
    </row>
    <row r="68" spans="40:62" x14ac:dyDescent="0.3">
      <c r="AN68" s="99"/>
      <c r="AO68" s="99"/>
      <c r="AP68" s="86"/>
      <c r="AQ68" s="86"/>
      <c r="AR68" s="86"/>
      <c r="AS68" s="100"/>
      <c r="AT68" s="81"/>
      <c r="AU68" s="101"/>
      <c r="AV68" s="101"/>
      <c r="AW68" s="101"/>
      <c r="AX68" s="101"/>
      <c r="AY68" s="101"/>
      <c r="AZ68" s="101"/>
      <c r="BA68" s="101"/>
      <c r="BB68" s="81"/>
      <c r="BC68" s="95"/>
      <c r="BD68" s="145"/>
      <c r="BE68" s="104"/>
      <c r="BF68" s="145"/>
      <c r="BG68" s="104"/>
      <c r="BH68" s="104"/>
      <c r="BI68" s="145"/>
      <c r="BJ68" s="146"/>
    </row>
    <row r="69" spans="40:62" x14ac:dyDescent="0.3">
      <c r="AN69" s="99"/>
      <c r="AO69" s="99"/>
      <c r="AP69" s="86"/>
      <c r="AQ69" s="86"/>
      <c r="AR69" s="86"/>
      <c r="AS69" s="100"/>
      <c r="AT69" s="81"/>
      <c r="AU69" s="101"/>
      <c r="AV69" s="101"/>
      <c r="AW69" s="101"/>
      <c r="AX69" s="101"/>
      <c r="AY69" s="101"/>
      <c r="AZ69" s="101"/>
      <c r="BA69" s="101"/>
      <c r="BB69" s="81"/>
      <c r="BC69" s="95"/>
      <c r="BD69" s="145"/>
      <c r="BE69" s="104"/>
      <c r="BF69" s="145"/>
      <c r="BG69" s="104"/>
      <c r="BH69" s="104"/>
      <c r="BI69" s="145"/>
      <c r="BJ69" s="146"/>
    </row>
    <row r="70" spans="40:62" x14ac:dyDescent="0.3">
      <c r="AN70" s="99"/>
      <c r="AO70" s="99"/>
      <c r="AP70" s="86"/>
      <c r="AQ70" s="86"/>
      <c r="AR70" s="86"/>
      <c r="AS70" s="100"/>
      <c r="AT70" s="81"/>
      <c r="AU70" s="101"/>
      <c r="AV70" s="101"/>
      <c r="AW70" s="101"/>
      <c r="AX70" s="101"/>
      <c r="AY70" s="101"/>
      <c r="AZ70" s="101"/>
      <c r="BA70" s="101"/>
      <c r="BB70" s="81"/>
      <c r="BC70" s="95"/>
      <c r="BD70" s="145"/>
      <c r="BE70" s="104"/>
      <c r="BF70" s="145"/>
      <c r="BG70" s="104"/>
      <c r="BH70" s="104"/>
      <c r="BI70" s="145"/>
      <c r="BJ70" s="146"/>
    </row>
    <row r="71" spans="40:62" x14ac:dyDescent="0.3">
      <c r="AN71" s="99"/>
      <c r="AO71" s="99"/>
      <c r="AP71" s="86"/>
      <c r="AQ71" s="86"/>
      <c r="AR71" s="86"/>
      <c r="AS71" s="100"/>
      <c r="AT71" s="81"/>
      <c r="AU71" s="101"/>
      <c r="AV71" s="101"/>
      <c r="AW71" s="101"/>
      <c r="AX71" s="101"/>
      <c r="AY71" s="101"/>
      <c r="AZ71" s="101"/>
      <c r="BA71" s="101"/>
      <c r="BB71" s="81"/>
      <c r="BC71" s="95"/>
      <c r="BD71" s="145"/>
      <c r="BE71" s="104"/>
      <c r="BF71" s="145"/>
      <c r="BG71" s="104"/>
      <c r="BH71" s="104"/>
      <c r="BI71" s="145"/>
      <c r="BJ71" s="146"/>
    </row>
    <row r="72" spans="40:62" x14ac:dyDescent="0.3">
      <c r="AN72" s="99"/>
      <c r="AO72" s="99"/>
      <c r="AP72" s="86"/>
      <c r="AQ72" s="86"/>
      <c r="AR72" s="86"/>
      <c r="AS72" s="100"/>
      <c r="AT72" s="81"/>
      <c r="AU72" s="101"/>
      <c r="AV72" s="101"/>
      <c r="AW72" s="101"/>
      <c r="AX72" s="101"/>
      <c r="AY72" s="101"/>
      <c r="AZ72" s="101"/>
      <c r="BA72" s="101"/>
      <c r="BB72" s="81"/>
      <c r="BC72" s="95"/>
      <c r="BD72" s="145"/>
      <c r="BE72" s="104"/>
      <c r="BF72" s="145"/>
      <c r="BG72" s="104"/>
      <c r="BH72" s="104"/>
      <c r="BI72" s="145"/>
      <c r="BJ72" s="146"/>
    </row>
    <row r="73" spans="40:62" ht="10.199999999999999" customHeight="1" thickBot="1" x14ac:dyDescent="0.35"/>
    <row r="74" spans="40:62" x14ac:dyDescent="0.3">
      <c r="AN74" s="89">
        <f>IF(AP74="",0,IF(AP76&lt;AP74,3,IF(AP76=AP74,1,0)))</f>
        <v>3</v>
      </c>
      <c r="AO74" s="89">
        <f>IF(AQ74="",0,IF(AQ76&lt;AQ74,3,IF(AQ76=AQ74,1,0)))</f>
        <v>3</v>
      </c>
      <c r="AP74" s="86">
        <f>IF(AE30="","",IF(AE32="","",AE30))</f>
        <v>4</v>
      </c>
      <c r="AQ74" s="86">
        <f>IF(AF30="","",IF(AF32="","",AF30))</f>
        <v>1</v>
      </c>
      <c r="AR74" s="86">
        <v>1</v>
      </c>
      <c r="AS74" s="90">
        <f>IF(BJ74="","",RANK(BJ74,$BJ74:$BJ76,1))</f>
        <v>1</v>
      </c>
      <c r="AT74" s="91" t="str">
        <f>AB30</f>
        <v>DjowGer</v>
      </c>
      <c r="AU74" s="92">
        <f>SUM(AV74:AX74)</f>
        <v>2</v>
      </c>
      <c r="AV74" s="93">
        <f>SUMPRODUCT(($AB30=$AT74)*($AP74&gt;$AP76))+SUMPRODUCT(($AB32=$AT74)*($AP74&lt;$AP76))+SUMPRODUCT(($AB30=$AT74)*($AQ74&gt;$AQ76))+SUMPRODUCT(($AB32=$AT74)*($AQ74&lt;$AQ76))</f>
        <v>2</v>
      </c>
      <c r="AW74" s="93">
        <f>SUMPRODUCT(($AB30=$AT74)*($AP74=$AP76)*($AP74&lt;&gt;""))+SUMPRODUCT(($AB32=$AT74)*($AP74=$AP76)*($AP74&lt;&gt;""))+SUMPRODUCT(($AB30=$AT74)*($AQ74=$AQ76)*($AQ74&lt;&gt;""))+SUMPRODUCT(($AB32=$AT74)*($AQ74=$AQ76)*($AP74&lt;&gt;""))</f>
        <v>0</v>
      </c>
      <c r="AX74" s="93">
        <f>SUMPRODUCT(($AB30=$AT74)*($AP74&lt;$AP76))+SUMPRODUCT(($AB32=$AT74)*($AP74&gt;$AP76))+SUMPRODUCT(($AB30=$AT74)*($AQ74&lt;$AQ76))+SUMPRODUCT(($AB32=$AT74)*($AQ74&gt;$AQ76))</f>
        <v>0</v>
      </c>
      <c r="AY74" s="93">
        <f>AP74+AQ74</f>
        <v>5</v>
      </c>
      <c r="AZ74" s="93">
        <f>AP76+AQ76</f>
        <v>1</v>
      </c>
      <c r="BA74" s="93">
        <f>AY74-AZ74</f>
        <v>4</v>
      </c>
      <c r="BB74" s="94">
        <f>AV74*3+AW74</f>
        <v>6</v>
      </c>
      <c r="BC74" s="95">
        <f>AS74</f>
        <v>1</v>
      </c>
      <c r="BD74" s="96">
        <f>IF(AT74="","",VALUE(CONCATENATE(TEXT(RANK(BB74,$BB74:$BB76),"00"))))</f>
        <v>1</v>
      </c>
      <c r="BE74" s="97">
        <f>COUNTIF($BD74:$BD76,BD74)</f>
        <v>1</v>
      </c>
      <c r="BF74" s="96">
        <f>RANK(BA74,$BA74:$BA76)</f>
        <v>1</v>
      </c>
      <c r="BG74" s="97">
        <f>COUNTIF($BF74:$BF76,BF74)</f>
        <v>1</v>
      </c>
      <c r="BH74" s="97" t="str">
        <f>IF(BG74=1,"",SUM(($AB30=$AT74)*(NOT(ISNA(MATCH($AB32,IF($BE74:$BE76&gt;1,$AT74:$AT76,0),0))))*($AG30))+SUM(($AB32=$AT74)*(NOT(ISNA(MATCH($AB30,IF($BE74:$BE76&gt;1,$AT74:$AT76,0),0))))*($AG32)))</f>
        <v/>
      </c>
      <c r="BI74" s="96" t="str">
        <f>IF(BH74="","",RANK(BH74,$BH74:$BH76))</f>
        <v/>
      </c>
      <c r="BJ74" s="98">
        <f>VALUE(BD74&amp;BF74&amp;BI74)</f>
        <v>11</v>
      </c>
    </row>
    <row r="75" spans="40:62" ht="3" customHeight="1" x14ac:dyDescent="0.3">
      <c r="AN75" s="99"/>
      <c r="AO75" s="99"/>
      <c r="AP75" s="99"/>
      <c r="AQ75" s="99"/>
      <c r="AR75" s="86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</row>
    <row r="76" spans="40:62" ht="15" thickBot="1" x14ac:dyDescent="0.35">
      <c r="AN76" s="89">
        <f>IF(AP76="",0,IF(AP74&lt;AP76,3,IF(AP74=AP76,1,0)))</f>
        <v>0</v>
      </c>
      <c r="AO76" s="89">
        <f>IF(AQ76="",0,IF(AQ74&lt;AQ76,3,IF(AQ74=AQ76,1,0)))</f>
        <v>0</v>
      </c>
      <c r="AP76" s="86">
        <f>IF(AE30="","",IF(AE32="","",AE32))</f>
        <v>1</v>
      </c>
      <c r="AQ76" s="86">
        <f>IF(AF30="","",IF(AF32="","",AF32))</f>
        <v>0</v>
      </c>
      <c r="AR76" s="86">
        <v>2</v>
      </c>
      <c r="AS76" s="111">
        <f>IF(BJ76="","",RANK(BJ76,$BJ74:$BJ76,1))</f>
        <v>2</v>
      </c>
      <c r="AT76" s="112" t="str">
        <f>AB32</f>
        <v>Bomb</v>
      </c>
      <c r="AU76" s="113">
        <f>SUM(AV76:AX76)</f>
        <v>2</v>
      </c>
      <c r="AV76" s="114">
        <f>AX74</f>
        <v>0</v>
      </c>
      <c r="AW76" s="114">
        <f>AW74</f>
        <v>0</v>
      </c>
      <c r="AX76" s="114">
        <f>AV74</f>
        <v>2</v>
      </c>
      <c r="AY76" s="114">
        <f>AP76+AQ76</f>
        <v>1</v>
      </c>
      <c r="AZ76" s="114">
        <f>AP74+AQ74</f>
        <v>5</v>
      </c>
      <c r="BA76" s="114">
        <f>AY76-AZ76</f>
        <v>-4</v>
      </c>
      <c r="BB76" s="115">
        <f>AV76*3+AW76</f>
        <v>0</v>
      </c>
      <c r="BC76" s="95">
        <f>AS76</f>
        <v>2</v>
      </c>
      <c r="BD76" s="96">
        <f>IF(AT76="","",VALUE(CONCATENATE(TEXT(RANK(BB76,$BB74:$BB76),"00"))))</f>
        <v>2</v>
      </c>
      <c r="BE76" s="97">
        <f>COUNTIF($BD74:$BD76,BD76)</f>
        <v>1</v>
      </c>
      <c r="BF76" s="96">
        <f>RANK(BA76,$BA74:$BA76)</f>
        <v>2</v>
      </c>
      <c r="BG76" s="97">
        <f>COUNTIF($BF74:$BF76,BF76)</f>
        <v>1</v>
      </c>
      <c r="BH76" s="97" t="str">
        <f>IF(BG76=1,"",SUM(($AB30=$AT76)*(NOT(ISNA(MATCH($AB32,IF($BE74:$BE76&gt;1,$AT74:$AT76,0),0))))*($AG30))+SUM(($AB32=$AT76)*(NOT(ISNA(MATCH($AB30,IF($BE74:$BE76&gt;1,$AT74:$AT76,0),0))))*($AG32)))</f>
        <v/>
      </c>
      <c r="BI76" s="96" t="str">
        <f>IF(BH76="","",RANK(BH76,$BH74:$BH76))</f>
        <v/>
      </c>
      <c r="BJ76" s="98">
        <f>VALUE(BD76&amp;BF76&amp;BI76)</f>
        <v>22</v>
      </c>
    </row>
  </sheetData>
  <sheetProtection password="971E" sheet="1" objects="1" scenarios="1"/>
  <mergeCells count="12">
    <mergeCell ref="K12:K13"/>
    <mergeCell ref="AB16:AB17"/>
    <mergeCell ref="K20:K21"/>
    <mergeCell ref="S24:S25"/>
    <mergeCell ref="K28:K29"/>
    <mergeCell ref="AB28:AB29"/>
    <mergeCell ref="S8:S9"/>
    <mergeCell ref="B2:H2"/>
    <mergeCell ref="K2:Q2"/>
    <mergeCell ref="S2:Y2"/>
    <mergeCell ref="AB2:AH2"/>
    <mergeCell ref="K4:K5"/>
  </mergeCells>
  <conditionalFormatting sqref="G4">
    <cfRule type="expression" dxfId="137" priority="79">
      <formula>AND(BG4&gt;1, AU4=2, F6&lt;&gt;"")</formula>
    </cfRule>
  </conditionalFormatting>
  <conditionalFormatting sqref="P6">
    <cfRule type="expression" dxfId="136" priority="87">
      <formula>AND(BG37&gt;1, AU37=2, O8&lt;&gt;"")</formula>
    </cfRule>
  </conditionalFormatting>
  <conditionalFormatting sqref="P8">
    <cfRule type="expression" dxfId="135" priority="88">
      <formula>AND(BG37&gt;1, AU37=2, O8&lt;&gt;"")</formula>
    </cfRule>
  </conditionalFormatting>
  <conditionalFormatting sqref="X10">
    <cfRule type="expression" dxfId="134" priority="85">
      <formula>AND(BG54&gt;1, AU54=2, W12&lt;&gt;"")</formula>
    </cfRule>
  </conditionalFormatting>
  <conditionalFormatting sqref="X12">
    <cfRule type="expression" dxfId="133" priority="86">
      <formula>AND(BG54&gt;1, AU54=2, W12&lt;&gt;"")</formula>
    </cfRule>
  </conditionalFormatting>
  <conditionalFormatting sqref="AG18">
    <cfRule type="expression" dxfId="132" priority="84">
      <formula>AND(BG62&gt;1, AU62=2, AF20&lt;&gt;"")</formula>
    </cfRule>
  </conditionalFormatting>
  <conditionalFormatting sqref="B4">
    <cfRule type="expression" dxfId="131" priority="82" stopIfTrue="1">
      <formula>AS4&lt;AS6</formula>
    </cfRule>
    <cfRule type="expression" dxfId="130" priority="83" stopIfTrue="1">
      <formula>AS4&gt;AS6</formula>
    </cfRule>
  </conditionalFormatting>
  <conditionalFormatting sqref="B6">
    <cfRule type="expression" dxfId="129" priority="80" stopIfTrue="1">
      <formula>AS4&gt;AS6</formula>
    </cfRule>
    <cfRule type="expression" dxfId="128" priority="81" stopIfTrue="1">
      <formula>AS4&lt;AS6</formula>
    </cfRule>
  </conditionalFormatting>
  <conditionalFormatting sqref="G6">
    <cfRule type="expression" dxfId="127" priority="78">
      <formula>AND(BG6&gt;1, AU6=2, F6&lt;&gt;"")</formula>
    </cfRule>
  </conditionalFormatting>
  <conditionalFormatting sqref="G8">
    <cfRule type="expression" dxfId="126" priority="73">
      <formula>AND(BG8&gt;1, AU8=2, F10&lt;&gt;"")</formula>
    </cfRule>
  </conditionalFormatting>
  <conditionalFormatting sqref="B8">
    <cfRule type="expression" dxfId="125" priority="76" stopIfTrue="1">
      <formula>AS8&lt;AS10</formula>
    </cfRule>
    <cfRule type="expression" dxfId="124" priority="77" stopIfTrue="1">
      <formula>AS8&gt;AS10</formula>
    </cfRule>
  </conditionalFormatting>
  <conditionalFormatting sqref="B10">
    <cfRule type="expression" dxfId="123" priority="74" stopIfTrue="1">
      <formula>AS8&gt;AS10</formula>
    </cfRule>
    <cfRule type="expression" dxfId="122" priority="75" stopIfTrue="1">
      <formula>AS8&lt;AS10</formula>
    </cfRule>
  </conditionalFormatting>
  <conditionalFormatting sqref="G10">
    <cfRule type="expression" dxfId="121" priority="72">
      <formula>AND(BG10&gt;1, AU10=2, F10&lt;&gt;"")</formula>
    </cfRule>
  </conditionalFormatting>
  <conditionalFormatting sqref="G12">
    <cfRule type="expression" dxfId="120" priority="67">
      <formula>AND(BG12&gt;1, AU12=2, F14&lt;&gt;"")</formula>
    </cfRule>
  </conditionalFormatting>
  <conditionalFormatting sqref="B12">
    <cfRule type="expression" dxfId="119" priority="70" stopIfTrue="1">
      <formula>AS12&lt;AS14</formula>
    </cfRule>
    <cfRule type="expression" dxfId="118" priority="71" stopIfTrue="1">
      <formula>AS12&gt;AS14</formula>
    </cfRule>
  </conditionalFormatting>
  <conditionalFormatting sqref="B14">
    <cfRule type="expression" dxfId="117" priority="68" stopIfTrue="1">
      <formula>AS12&gt;AS14</formula>
    </cfRule>
    <cfRule type="expression" dxfId="116" priority="69" stopIfTrue="1">
      <formula>AS12&lt;AS14</formula>
    </cfRule>
  </conditionalFormatting>
  <conditionalFormatting sqref="G14">
    <cfRule type="expression" dxfId="115" priority="66">
      <formula>AND(BG14&gt;1, AU14=2, F14&lt;&gt;"")</formula>
    </cfRule>
  </conditionalFormatting>
  <conditionalFormatting sqref="G16">
    <cfRule type="expression" dxfId="114" priority="61">
      <formula>AND(BG16&gt;1, AU16=2, F18&lt;&gt;"")</formula>
    </cfRule>
  </conditionalFormatting>
  <conditionalFormatting sqref="B16">
    <cfRule type="expression" dxfId="113" priority="64" stopIfTrue="1">
      <formula>AS16&lt;AS18</formula>
    </cfRule>
    <cfRule type="expression" dxfId="112" priority="65" stopIfTrue="1">
      <formula>AS16&gt;AS18</formula>
    </cfRule>
  </conditionalFormatting>
  <conditionalFormatting sqref="B18">
    <cfRule type="expression" dxfId="111" priority="62" stopIfTrue="1">
      <formula>AS16&gt;AS18</formula>
    </cfRule>
    <cfRule type="expression" dxfId="110" priority="63" stopIfTrue="1">
      <formula>AS16&lt;AS18</formula>
    </cfRule>
  </conditionalFormatting>
  <conditionalFormatting sqref="G18">
    <cfRule type="expression" dxfId="109" priority="60">
      <formula>AND(BG18&gt;1, AU18=2, F18&lt;&gt;"")</formula>
    </cfRule>
  </conditionalFormatting>
  <conditionalFormatting sqref="G20">
    <cfRule type="expression" dxfId="108" priority="55">
      <formula>AND(BG20&gt;1, AU20=2, F22&lt;&gt;"")</formula>
    </cfRule>
  </conditionalFormatting>
  <conditionalFormatting sqref="B20">
    <cfRule type="expression" dxfId="107" priority="58" stopIfTrue="1">
      <formula>AS20&lt;AS22</formula>
    </cfRule>
    <cfRule type="expression" dxfId="106" priority="59" stopIfTrue="1">
      <formula>AS20&gt;AS22</formula>
    </cfRule>
  </conditionalFormatting>
  <conditionalFormatting sqref="B22">
    <cfRule type="expression" dxfId="105" priority="56" stopIfTrue="1">
      <formula>AS20&gt;AS22</formula>
    </cfRule>
    <cfRule type="expression" dxfId="104" priority="57" stopIfTrue="1">
      <formula>AS20&lt;AS22</formula>
    </cfRule>
  </conditionalFormatting>
  <conditionalFormatting sqref="G22">
    <cfRule type="expression" dxfId="103" priority="54">
      <formula>AND(BG22&gt;1, AU22=2, F22&lt;&gt;"")</formula>
    </cfRule>
  </conditionalFormatting>
  <conditionalFormatting sqref="G24">
    <cfRule type="expression" dxfId="102" priority="49">
      <formula>AND(BG24&gt;1, AU24=2, F26&lt;&gt;"")</formula>
    </cfRule>
  </conditionalFormatting>
  <conditionalFormatting sqref="B24">
    <cfRule type="expression" dxfId="101" priority="52" stopIfTrue="1">
      <formula>AS24&lt;AS26</formula>
    </cfRule>
    <cfRule type="expression" dxfId="100" priority="53" stopIfTrue="1">
      <formula>AS24&gt;AS26</formula>
    </cfRule>
  </conditionalFormatting>
  <conditionalFormatting sqref="B26">
    <cfRule type="expression" dxfId="99" priority="50" stopIfTrue="1">
      <formula>AS24&gt;AS26</formula>
    </cfRule>
    <cfRule type="expression" dxfId="98" priority="51" stopIfTrue="1">
      <formula>AS24&lt;AS26</formula>
    </cfRule>
  </conditionalFormatting>
  <conditionalFormatting sqref="G26">
    <cfRule type="expression" dxfId="97" priority="48">
      <formula>AND(BG26&gt;1, AU26=2, F26&lt;&gt;"")</formula>
    </cfRule>
  </conditionalFormatting>
  <conditionalFormatting sqref="G28">
    <cfRule type="expression" dxfId="96" priority="43">
      <formula>AND(BG28&gt;1, AU28=2, F30&lt;&gt;"")</formula>
    </cfRule>
  </conditionalFormatting>
  <conditionalFormatting sqref="B28">
    <cfRule type="expression" dxfId="95" priority="46" stopIfTrue="1">
      <formula>AS28&lt;AS30</formula>
    </cfRule>
    <cfRule type="expression" dxfId="94" priority="47" stopIfTrue="1">
      <formula>AS28&gt;AS30</formula>
    </cfRule>
  </conditionalFormatting>
  <conditionalFormatting sqref="B30">
    <cfRule type="expression" dxfId="93" priority="44" stopIfTrue="1">
      <formula>AS28&gt;AS30</formula>
    </cfRule>
    <cfRule type="expression" dxfId="92" priority="45" stopIfTrue="1">
      <formula>AS28&lt;AS30</formula>
    </cfRule>
  </conditionalFormatting>
  <conditionalFormatting sqref="G30">
    <cfRule type="expression" dxfId="91" priority="42">
      <formula>AND(BG30&gt;1, AU30=2, F30&lt;&gt;"")</formula>
    </cfRule>
  </conditionalFormatting>
  <conditionalFormatting sqref="G32">
    <cfRule type="expression" dxfId="90" priority="37">
      <formula>AND(BG32&gt;1, AU32=2, F34&lt;&gt;"")</formula>
    </cfRule>
  </conditionalFormatting>
  <conditionalFormatting sqref="B32">
    <cfRule type="expression" dxfId="89" priority="40" stopIfTrue="1">
      <formula>AS32&lt;AS34</formula>
    </cfRule>
    <cfRule type="expression" dxfId="88" priority="41" stopIfTrue="1">
      <formula>AS32&gt;AS34</formula>
    </cfRule>
  </conditionalFormatting>
  <conditionalFormatting sqref="B34">
    <cfRule type="expression" dxfId="87" priority="38" stopIfTrue="1">
      <formula>AS32&gt;AS34</formula>
    </cfRule>
    <cfRule type="expression" dxfId="86" priority="39" stopIfTrue="1">
      <formula>AS32&lt;AS34</formula>
    </cfRule>
  </conditionalFormatting>
  <conditionalFormatting sqref="G34">
    <cfRule type="expression" dxfId="85" priority="36">
      <formula>AND(BG34&gt;1, AU34=2, F34&lt;&gt;"")</formula>
    </cfRule>
  </conditionalFormatting>
  <conditionalFormatting sqref="K6">
    <cfRule type="expression" dxfId="84" priority="34" stopIfTrue="1">
      <formula>AS37&lt;AS39</formula>
    </cfRule>
    <cfRule type="expression" dxfId="83" priority="35" stopIfTrue="1">
      <formula>AS37&gt;AS39</formula>
    </cfRule>
  </conditionalFormatting>
  <conditionalFormatting sqref="K8">
    <cfRule type="expression" dxfId="82" priority="32" stopIfTrue="1">
      <formula>AS37&gt;AS39</formula>
    </cfRule>
    <cfRule type="expression" dxfId="81" priority="33" stopIfTrue="1">
      <formula>AS37&lt;AS39</formula>
    </cfRule>
  </conditionalFormatting>
  <conditionalFormatting sqref="K14">
    <cfRule type="expression" dxfId="80" priority="30" stopIfTrue="1">
      <formula>AS41&lt;AS43</formula>
    </cfRule>
    <cfRule type="expression" dxfId="79" priority="31" stopIfTrue="1">
      <formula>AS41&gt;AS43</formula>
    </cfRule>
  </conditionalFormatting>
  <conditionalFormatting sqref="K16">
    <cfRule type="expression" dxfId="78" priority="28" stopIfTrue="1">
      <formula>AS41&gt;AS43</formula>
    </cfRule>
    <cfRule type="expression" dxfId="77" priority="29" stopIfTrue="1">
      <formula>AS41&lt;AS43</formula>
    </cfRule>
  </conditionalFormatting>
  <conditionalFormatting sqref="K22">
    <cfRule type="expression" dxfId="76" priority="26" stopIfTrue="1">
      <formula>AS45&lt;AS47</formula>
    </cfRule>
    <cfRule type="expression" dxfId="75" priority="27" stopIfTrue="1">
      <formula>AS45&gt;AS47</formula>
    </cfRule>
  </conditionalFormatting>
  <conditionalFormatting sqref="K24">
    <cfRule type="expression" dxfId="74" priority="24" stopIfTrue="1">
      <formula>AS45&gt;AS47</formula>
    </cfRule>
    <cfRule type="expression" dxfId="73" priority="25" stopIfTrue="1">
      <formula>AS45&lt;AS47</formula>
    </cfRule>
  </conditionalFormatting>
  <conditionalFormatting sqref="K30">
    <cfRule type="expression" dxfId="72" priority="22" stopIfTrue="1">
      <formula>AS49&lt;AS51</formula>
    </cfRule>
    <cfRule type="expression" dxfId="71" priority="23" stopIfTrue="1">
      <formula>AS49&gt;AS51</formula>
    </cfRule>
  </conditionalFormatting>
  <conditionalFormatting sqref="K32">
    <cfRule type="expression" dxfId="70" priority="20" stopIfTrue="1">
      <formula>AS49&gt;AS51</formula>
    </cfRule>
    <cfRule type="expression" dxfId="69" priority="21" stopIfTrue="1">
      <formula>AS49&lt;AS51</formula>
    </cfRule>
  </conditionalFormatting>
  <conditionalFormatting sqref="P14">
    <cfRule type="expression" dxfId="68" priority="89">
      <formula>AND(BG41&gt;1, AU41=2, O16&lt;&gt;"")</formula>
    </cfRule>
  </conditionalFormatting>
  <conditionalFormatting sqref="P16">
    <cfRule type="expression" dxfId="67" priority="90">
      <formula>AND(BG41&gt;1, AU41=2, O16&lt;&gt;"")</formula>
    </cfRule>
  </conditionalFormatting>
  <conditionalFormatting sqref="P22">
    <cfRule type="expression" dxfId="66" priority="91">
      <formula>AND(BG45&gt;1, AU45=2, O24&lt;&gt;"")</formula>
    </cfRule>
  </conditionalFormatting>
  <conditionalFormatting sqref="P24">
    <cfRule type="expression" dxfId="65" priority="92">
      <formula>AND(BG45&gt;1, AU45=2, O24&lt;&gt;"")</formula>
    </cfRule>
  </conditionalFormatting>
  <conditionalFormatting sqref="P30">
    <cfRule type="expression" dxfId="64" priority="93">
      <formula>AND(BG49&gt;1, AU49=2, O32&lt;&gt;"")</formula>
    </cfRule>
  </conditionalFormatting>
  <conditionalFormatting sqref="P32">
    <cfRule type="expression" dxfId="63" priority="94">
      <formula>AND(BG49&gt;1, AU49=2, O32&lt;&gt;"")</formula>
    </cfRule>
  </conditionalFormatting>
  <conditionalFormatting sqref="S10">
    <cfRule type="expression" dxfId="62" priority="18" stopIfTrue="1">
      <formula>AS54&lt;AS56</formula>
    </cfRule>
    <cfRule type="expression" dxfId="61" priority="19" stopIfTrue="1">
      <formula>AS54&gt;AS56</formula>
    </cfRule>
  </conditionalFormatting>
  <conditionalFormatting sqref="S12">
    <cfRule type="expression" dxfId="60" priority="16" stopIfTrue="1">
      <formula>AS54&gt;AS56</formula>
    </cfRule>
    <cfRule type="expression" dxfId="59" priority="17" stopIfTrue="1">
      <formula>AS54&lt;AS56</formula>
    </cfRule>
  </conditionalFormatting>
  <conditionalFormatting sqref="S26">
    <cfRule type="expression" dxfId="58" priority="14" stopIfTrue="1">
      <formula>AS58&lt;AS60</formula>
    </cfRule>
    <cfRule type="expression" dxfId="57" priority="15" stopIfTrue="1">
      <formula>AS58&gt;AS60</formula>
    </cfRule>
  </conditionalFormatting>
  <conditionalFormatting sqref="S28">
    <cfRule type="expression" dxfId="56" priority="12" stopIfTrue="1">
      <formula>AS58&gt;AS60</formula>
    </cfRule>
    <cfRule type="expression" dxfId="55" priority="13" stopIfTrue="1">
      <formula>AS58&lt;AS60</formula>
    </cfRule>
  </conditionalFormatting>
  <conditionalFormatting sqref="X26">
    <cfRule type="expression" dxfId="54" priority="95">
      <formula>AND(BG58&gt;1, AU58=2, W28&lt;&gt;"")</formula>
    </cfRule>
  </conditionalFormatting>
  <conditionalFormatting sqref="X28">
    <cfRule type="expression" dxfId="53" priority="96">
      <formula>AND(BG58&gt;1, AU58=2, W28&lt;&gt;"")</formula>
    </cfRule>
  </conditionalFormatting>
  <conditionalFormatting sqref="AB18">
    <cfRule type="expression" dxfId="52" priority="10" stopIfTrue="1">
      <formula>AS62&lt;AS64</formula>
    </cfRule>
    <cfRule type="expression" dxfId="51" priority="11" stopIfTrue="1">
      <formula>AS62&gt;AS64</formula>
    </cfRule>
  </conditionalFormatting>
  <conditionalFormatting sqref="AB20">
    <cfRule type="expression" dxfId="50" priority="8" stopIfTrue="1">
      <formula>AS62&gt;AS64</formula>
    </cfRule>
    <cfRule type="expression" dxfId="49" priority="9" stopIfTrue="1">
      <formula>AS62&lt;AS64</formula>
    </cfRule>
  </conditionalFormatting>
  <conditionalFormatting sqref="AG20">
    <cfRule type="expression" dxfId="48" priority="7">
      <formula>AND(BG62&gt;1, AU62=2, AF20&lt;&gt;"")</formula>
    </cfRule>
  </conditionalFormatting>
  <conditionalFormatting sqref="AG30">
    <cfRule type="expression" dxfId="47" priority="6">
      <formula>AND(BG74&gt;1, AU74=2, AF32&lt;&gt;"")</formula>
    </cfRule>
  </conditionalFormatting>
  <conditionalFormatting sqref="AB30">
    <cfRule type="expression" dxfId="46" priority="4" stopIfTrue="1">
      <formula>AS74&lt;AS76</formula>
    </cfRule>
    <cfRule type="expression" dxfId="45" priority="5" stopIfTrue="1">
      <formula>AS74&gt;AS76</formula>
    </cfRule>
  </conditionalFormatting>
  <conditionalFormatting sqref="AB32">
    <cfRule type="expression" dxfId="44" priority="2" stopIfTrue="1">
      <formula>AS74&gt;AS76</formula>
    </cfRule>
    <cfRule type="expression" dxfId="43" priority="3" stopIfTrue="1">
      <formula>AS74&lt;AS76</formula>
    </cfRule>
  </conditionalFormatting>
  <conditionalFormatting sqref="AG32">
    <cfRule type="expression" dxfId="42" priority="1">
      <formula>AND(BG74&gt;1, AU74=2, AF32&lt;&gt;"")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93" r:id="rId4" name="Check Box 1">
              <controlPr defaultSize="0" autoFill="0" autoLine="0" autoPict="0">
                <anchor moveWithCells="1">
                  <from>
                    <xdr:col>7</xdr:col>
                    <xdr:colOff>68580</xdr:colOff>
                    <xdr:row>5</xdr:row>
                    <xdr:rowOff>45720</xdr:rowOff>
                  </from>
                  <to>
                    <xdr:col>7</xdr:col>
                    <xdr:colOff>274320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4" r:id="rId5" name="Check Box 2">
              <controlPr defaultSize="0" autoFill="0" autoLine="0" autoPict="0">
                <anchor moveWithCells="1">
                  <from>
                    <xdr:col>7</xdr:col>
                    <xdr:colOff>68580</xdr:colOff>
                    <xdr:row>9</xdr:row>
                    <xdr:rowOff>45720</xdr:rowOff>
                  </from>
                  <to>
                    <xdr:col>7</xdr:col>
                    <xdr:colOff>274320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5" r:id="rId6" name="Check Box 3">
              <controlPr defaultSize="0" autoFill="0" autoLine="0" autoPict="0">
                <anchor moveWithCells="1">
                  <from>
                    <xdr:col>7</xdr:col>
                    <xdr:colOff>68580</xdr:colOff>
                    <xdr:row>13</xdr:row>
                    <xdr:rowOff>45720</xdr:rowOff>
                  </from>
                  <to>
                    <xdr:col>7</xdr:col>
                    <xdr:colOff>274320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6" r:id="rId7" name="Check Box 4">
              <controlPr defaultSize="0" autoFill="0" autoLine="0" autoPict="0">
                <anchor moveWithCells="1">
                  <from>
                    <xdr:col>7</xdr:col>
                    <xdr:colOff>68580</xdr:colOff>
                    <xdr:row>17</xdr:row>
                    <xdr:rowOff>45720</xdr:rowOff>
                  </from>
                  <to>
                    <xdr:col>7</xdr:col>
                    <xdr:colOff>274320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7" r:id="rId8" name="Check Box 5">
              <controlPr defaultSize="0" autoFill="0" autoLine="0" autoPict="0">
                <anchor moveWithCells="1">
                  <from>
                    <xdr:col>7</xdr:col>
                    <xdr:colOff>68580</xdr:colOff>
                    <xdr:row>21</xdr:row>
                    <xdr:rowOff>45720</xdr:rowOff>
                  </from>
                  <to>
                    <xdr:col>7</xdr:col>
                    <xdr:colOff>274320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8" r:id="rId9" name="Check Box 6">
              <controlPr defaultSize="0" autoFill="0" autoLine="0" autoPict="0">
                <anchor moveWithCells="1">
                  <from>
                    <xdr:col>7</xdr:col>
                    <xdr:colOff>68580</xdr:colOff>
                    <xdr:row>25</xdr:row>
                    <xdr:rowOff>45720</xdr:rowOff>
                  </from>
                  <to>
                    <xdr:col>7</xdr:col>
                    <xdr:colOff>274320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0" r:id="rId10" name="Check Box 8">
              <controlPr defaultSize="0" autoFill="0" autoLine="0" autoPict="0">
                <anchor moveWithCells="1">
                  <from>
                    <xdr:col>7</xdr:col>
                    <xdr:colOff>68580</xdr:colOff>
                    <xdr:row>33</xdr:row>
                    <xdr:rowOff>45720</xdr:rowOff>
                  </from>
                  <to>
                    <xdr:col>7</xdr:col>
                    <xdr:colOff>274320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1" r:id="rId11" name="Check Box 9">
              <controlPr defaultSize="0" autoFill="0" autoLine="0" autoPict="0">
                <anchor moveWithCells="1">
                  <from>
                    <xdr:col>16</xdr:col>
                    <xdr:colOff>68580</xdr:colOff>
                    <xdr:row>7</xdr:row>
                    <xdr:rowOff>45720</xdr:rowOff>
                  </from>
                  <to>
                    <xdr:col>16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2" r:id="rId12" name="Check Box 10">
              <controlPr defaultSize="0" autoFill="0" autoLine="0" autoPict="0">
                <anchor moveWithCells="1">
                  <from>
                    <xdr:col>16</xdr:col>
                    <xdr:colOff>68580</xdr:colOff>
                    <xdr:row>15</xdr:row>
                    <xdr:rowOff>45720</xdr:rowOff>
                  </from>
                  <to>
                    <xdr:col>16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3" r:id="rId13" name="Check Box 11">
              <controlPr defaultSize="0" autoFill="0" autoLine="0" autoPict="0">
                <anchor moveWithCells="1">
                  <from>
                    <xdr:col>16</xdr:col>
                    <xdr:colOff>68580</xdr:colOff>
                    <xdr:row>23</xdr:row>
                    <xdr:rowOff>45720</xdr:rowOff>
                  </from>
                  <to>
                    <xdr:col>16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4" r:id="rId14" name="Check Box 12">
              <controlPr defaultSize="0" autoFill="0" autoLine="0" autoPict="0">
                <anchor moveWithCells="1">
                  <from>
                    <xdr:col>16</xdr:col>
                    <xdr:colOff>68580</xdr:colOff>
                    <xdr:row>31</xdr:row>
                    <xdr:rowOff>45720</xdr:rowOff>
                  </from>
                  <to>
                    <xdr:col>16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5" r:id="rId15" name="Check Box 13">
              <controlPr defaultSize="0" autoFill="0" autoLine="0" autoPict="0">
                <anchor moveWithCells="1">
                  <from>
                    <xdr:col>24</xdr:col>
                    <xdr:colOff>68580</xdr:colOff>
                    <xdr:row>11</xdr:row>
                    <xdr:rowOff>45720</xdr:rowOff>
                  </from>
                  <to>
                    <xdr:col>24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6" r:id="rId16" name="Check Box 14">
              <controlPr defaultSize="0" autoFill="0" autoLine="0" autoPict="0">
                <anchor moveWithCells="1">
                  <from>
                    <xdr:col>24</xdr:col>
                    <xdr:colOff>68580</xdr:colOff>
                    <xdr:row>27</xdr:row>
                    <xdr:rowOff>45720</xdr:rowOff>
                  </from>
                  <to>
                    <xdr:col>24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7" r:id="rId17" name="Check Box 15">
              <controlPr defaultSize="0" autoFill="0" autoLine="0" autoPict="0">
                <anchor moveWithCells="1">
                  <from>
                    <xdr:col>33</xdr:col>
                    <xdr:colOff>68580</xdr:colOff>
                    <xdr:row>19</xdr:row>
                    <xdr:rowOff>45720</xdr:rowOff>
                  </from>
                  <to>
                    <xdr:col>33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8" r:id="rId18" name="Check Box 16">
              <controlPr defaultSize="0" autoFill="0" autoLine="0" autoPict="0">
                <anchor moveWithCells="1">
                  <from>
                    <xdr:col>33</xdr:col>
                    <xdr:colOff>68580</xdr:colOff>
                    <xdr:row>31</xdr:row>
                    <xdr:rowOff>45720</xdr:rowOff>
                  </from>
                  <to>
                    <xdr:col>33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workbookViewId="0">
      <selection activeCell="A4" sqref="A4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'Gr. F+'!E8</f>
        <v>AbelXavier</v>
      </c>
      <c r="C2" s="275"/>
      <c r="D2" s="276"/>
      <c r="E2" s="283" t="str">
        <f>IFERROR('Gr. F+'!D2,"-")</f>
        <v>Group F</v>
      </c>
      <c r="F2" s="284"/>
      <c r="G2" s="284"/>
      <c r="H2" s="284"/>
      <c r="I2" s="285"/>
      <c r="J2" s="274" t="str">
        <f>'Gr. F+'!E11</f>
        <v>Andib</v>
      </c>
      <c r="K2" s="275"/>
      <c r="L2" s="276"/>
    </row>
    <row r="3" spans="1:15" ht="19.5" customHeight="1" thickBot="1" x14ac:dyDescent="0.35">
      <c r="A3" s="6"/>
      <c r="B3" s="274" t="str">
        <f>'Gr. F+'!E9</f>
        <v>Cinek</v>
      </c>
      <c r="C3" s="275"/>
      <c r="D3" s="276"/>
      <c r="E3" s="283"/>
      <c r="F3" s="284"/>
      <c r="G3" s="284"/>
      <c r="H3" s="284"/>
      <c r="I3" s="285"/>
      <c r="J3" s="274" t="str">
        <f>'Gr. F+'!E12</f>
        <v>Team Oelkohold</v>
      </c>
      <c r="K3" s="275"/>
      <c r="L3" s="276"/>
    </row>
    <row r="4" spans="1:15" ht="19.5" customHeight="1" thickBot="1" x14ac:dyDescent="0.35">
      <c r="A4" s="6"/>
      <c r="B4" s="274" t="str">
        <f>'Gr. F+'!E10</f>
        <v>Dennis</v>
      </c>
      <c r="C4" s="275"/>
      <c r="D4" s="276"/>
      <c r="E4" s="6"/>
      <c r="F4" s="6"/>
      <c r="G4" s="6"/>
      <c r="H4" s="6"/>
      <c r="I4" s="6"/>
      <c r="J4" s="274" t="str">
        <f>'Gr. F+'!E13</f>
        <v>Enbino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215" t="s">
        <v>18</v>
      </c>
      <c r="B6" s="215" t="s">
        <v>15</v>
      </c>
      <c r="C6" s="215"/>
      <c r="D6" s="215" t="s">
        <v>16</v>
      </c>
      <c r="E6" s="273" t="s">
        <v>17</v>
      </c>
      <c r="F6" s="273"/>
      <c r="G6" s="273"/>
      <c r="H6" s="3"/>
      <c r="I6" s="215" t="s">
        <v>18</v>
      </c>
      <c r="J6" s="215" t="s">
        <v>15</v>
      </c>
      <c r="K6" s="215"/>
      <c r="L6" s="215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IFERROR(VLOOKUP('Gr. F+'!C16,'Gr. F+'!$D$8:$E$13,2,0),"-")</f>
        <v>AbelXavier</v>
      </c>
      <c r="C7" s="5" t="s">
        <v>19</v>
      </c>
      <c r="D7" s="4" t="str">
        <f>IFERROR(VLOOKUP('Gr. F+'!E16,'Gr. F+'!$D$8:$E$13,2,0),"-")</f>
        <v>Cinek</v>
      </c>
      <c r="E7" s="4">
        <v>4</v>
      </c>
      <c r="F7" s="5" t="s">
        <v>19</v>
      </c>
      <c r="G7" s="4">
        <v>0</v>
      </c>
      <c r="H7" s="6"/>
      <c r="I7" s="4" t="s">
        <v>20</v>
      </c>
      <c r="J7" s="4" t="str">
        <f>IFERROR(VLOOKUP('Gr. F+'!H16,'Gr. F+'!$D$8:$E$13,2,0),"-")</f>
        <v>Cinek</v>
      </c>
      <c r="K7" s="5" t="s">
        <v>19</v>
      </c>
      <c r="L7" s="4" t="str">
        <f>IFERROR(VLOOKUP('Gr. F+'!J16,'Gr. F+'!$D$8:$E$13,2,0),"-")</f>
        <v>AbelXavier</v>
      </c>
      <c r="M7" s="4">
        <v>2</v>
      </c>
      <c r="N7" s="5" t="s">
        <v>19</v>
      </c>
      <c r="O7" s="4">
        <v>0</v>
      </c>
    </row>
    <row r="8" spans="1:15" s="49" customFormat="1" ht="18" customHeight="1" thickBot="1" x14ac:dyDescent="0.35">
      <c r="A8" s="4" t="s">
        <v>1</v>
      </c>
      <c r="B8" s="4" t="str">
        <f>IFERROR(VLOOKUP('Gr. F+'!C17,'Gr. F+'!$D$8:$E$13,2,0),"-")</f>
        <v>AbelXavier</v>
      </c>
      <c r="C8" s="5" t="s">
        <v>19</v>
      </c>
      <c r="D8" s="4" t="str">
        <f>IFERROR(VLOOKUP('Gr. F+'!E17,'Gr. F+'!$D$8:$E$13,2,0),"-")</f>
        <v>Dennis</v>
      </c>
      <c r="E8" s="4">
        <v>2</v>
      </c>
      <c r="F8" s="5" t="s">
        <v>19</v>
      </c>
      <c r="G8" s="4">
        <v>0</v>
      </c>
      <c r="H8" s="6"/>
      <c r="I8" s="4" t="s">
        <v>21</v>
      </c>
      <c r="J8" s="4" t="str">
        <f>IFERROR(VLOOKUP('Gr. F+'!H17,'Gr. F+'!$D$8:$E$13,2,0),"-")</f>
        <v>Dennis</v>
      </c>
      <c r="K8" s="5" t="s">
        <v>19</v>
      </c>
      <c r="L8" s="4" t="str">
        <f>IFERROR(VLOOKUP('Gr. F+'!J17,'Gr. F+'!$D$8:$E$13,2,0),"-")</f>
        <v>AbelXavier</v>
      </c>
      <c r="M8" s="4">
        <v>0</v>
      </c>
      <c r="N8" s="5" t="s">
        <v>19</v>
      </c>
      <c r="O8" s="4">
        <v>4</v>
      </c>
    </row>
    <row r="9" spans="1:15" s="49" customFormat="1" ht="18" customHeight="1" thickBot="1" x14ac:dyDescent="0.35">
      <c r="A9" s="4" t="s">
        <v>2</v>
      </c>
      <c r="B9" s="4" t="str">
        <f>IFERROR(VLOOKUP('Gr. F+'!C18,'Gr. F+'!$D$8:$E$13,2,0),"-")</f>
        <v>AbelXavier</v>
      </c>
      <c r="C9" s="5" t="s">
        <v>19</v>
      </c>
      <c r="D9" s="4" t="str">
        <f>IFERROR(VLOOKUP('Gr. F+'!E18,'Gr. F+'!$D$8:$E$13,2,0),"-")</f>
        <v>Andib</v>
      </c>
      <c r="E9" s="4">
        <v>1</v>
      </c>
      <c r="F9" s="5" t="s">
        <v>19</v>
      </c>
      <c r="G9" s="4">
        <v>0</v>
      </c>
      <c r="H9" s="6"/>
      <c r="I9" s="4" t="s">
        <v>22</v>
      </c>
      <c r="J9" s="4" t="str">
        <f>IFERROR(VLOOKUP('Gr. F+'!H18,'Gr. F+'!$D$8:$E$13,2,0),"-")</f>
        <v>Andib</v>
      </c>
      <c r="K9" s="5" t="s">
        <v>19</v>
      </c>
      <c r="L9" s="4" t="str">
        <f>IFERROR(VLOOKUP('Gr. F+'!J18,'Gr. F+'!$D$8:$E$13,2,0),"-")</f>
        <v>AbelXavier</v>
      </c>
      <c r="M9" s="4">
        <v>1</v>
      </c>
      <c r="N9" s="5" t="s">
        <v>19</v>
      </c>
      <c r="O9" s="4">
        <v>0</v>
      </c>
    </row>
    <row r="10" spans="1:15" s="49" customFormat="1" ht="18" customHeight="1" thickBot="1" x14ac:dyDescent="0.35">
      <c r="A10" s="4" t="s">
        <v>3</v>
      </c>
      <c r="B10" s="4" t="str">
        <f>IFERROR(VLOOKUP('Gr. F+'!C19,'Gr. F+'!$D$8:$E$13,2,0),"-")</f>
        <v>AbelXavier</v>
      </c>
      <c r="C10" s="5" t="s">
        <v>19</v>
      </c>
      <c r="D10" s="4" t="str">
        <f>IFERROR(VLOOKUP('Gr. F+'!E19,'Gr. F+'!$D$8:$E$13,2,0),"-")</f>
        <v>Team Oelkohold</v>
      </c>
      <c r="E10" s="4">
        <v>2</v>
      </c>
      <c r="F10" s="5" t="s">
        <v>19</v>
      </c>
      <c r="G10" s="4">
        <v>2</v>
      </c>
      <c r="H10" s="6"/>
      <c r="I10" s="4" t="s">
        <v>23</v>
      </c>
      <c r="J10" s="4" t="str">
        <f>IFERROR(VLOOKUP('Gr. F+'!H19,'Gr. F+'!$D$8:$E$13,2,0),"-")</f>
        <v>Team Oelkohold</v>
      </c>
      <c r="K10" s="5" t="s">
        <v>19</v>
      </c>
      <c r="L10" s="4" t="str">
        <f>IFERROR(VLOOKUP('Gr. F+'!J19,'Gr. F+'!$D$8:$E$13,2,0),"-")</f>
        <v>AbelXavier</v>
      </c>
      <c r="M10" s="4">
        <v>1</v>
      </c>
      <c r="N10" s="5" t="s">
        <v>19</v>
      </c>
      <c r="O10" s="4">
        <v>3</v>
      </c>
    </row>
    <row r="11" spans="1:15" s="49" customFormat="1" ht="18" customHeight="1" thickBot="1" x14ac:dyDescent="0.35">
      <c r="A11" s="4" t="s">
        <v>4</v>
      </c>
      <c r="B11" s="4" t="str">
        <f>IFERROR(VLOOKUP('Gr. F+'!C20,'Gr. F+'!$D$8:$E$13,2,0),"-")</f>
        <v>AbelXavier</v>
      </c>
      <c r="C11" s="5" t="s">
        <v>19</v>
      </c>
      <c r="D11" s="4" t="str">
        <f>IFERROR(VLOOKUP('Gr. F+'!E20,'Gr. F+'!$D$8:$E$13,2,0),"-")</f>
        <v>Enbino</v>
      </c>
      <c r="E11" s="4">
        <v>2</v>
      </c>
      <c r="F11" s="5" t="s">
        <v>19</v>
      </c>
      <c r="G11" s="4">
        <v>0</v>
      </c>
      <c r="H11" s="6"/>
      <c r="I11" s="4" t="s">
        <v>24</v>
      </c>
      <c r="J11" s="4" t="str">
        <f>IFERROR(VLOOKUP('Gr. F+'!H20,'Gr. F+'!$D$8:$E$13,2,0),"-")</f>
        <v>Enbino</v>
      </c>
      <c r="K11" s="5" t="s">
        <v>19</v>
      </c>
      <c r="L11" s="4" t="str">
        <f>IFERROR(VLOOKUP('Gr. F+'!J20,'Gr. F+'!$D$8:$E$13,2,0),"-")</f>
        <v>AbelXavier</v>
      </c>
      <c r="M11" s="4">
        <v>0</v>
      </c>
      <c r="N11" s="5" t="s">
        <v>19</v>
      </c>
      <c r="O11" s="4">
        <v>5</v>
      </c>
    </row>
    <row r="12" spans="1:15" s="49" customFormat="1" ht="18" customHeight="1" thickBot="1" x14ac:dyDescent="0.35">
      <c r="A12" s="4" t="s">
        <v>5</v>
      </c>
      <c r="B12" s="4" t="str">
        <f>IFERROR(VLOOKUP('Gr. F+'!C21,'Gr. F+'!$D$8:$E$13,2,0),"-")</f>
        <v>Cinek</v>
      </c>
      <c r="C12" s="5" t="s">
        <v>19</v>
      </c>
      <c r="D12" s="4" t="str">
        <f>IFERROR(VLOOKUP('Gr. F+'!E21,'Gr. F+'!$D$8:$E$13,2,0),"-")</f>
        <v>Dennis</v>
      </c>
      <c r="E12" s="4">
        <v>1</v>
      </c>
      <c r="F12" s="5" t="s">
        <v>19</v>
      </c>
      <c r="G12" s="4">
        <v>0</v>
      </c>
      <c r="H12" s="6"/>
      <c r="I12" s="4" t="s">
        <v>25</v>
      </c>
      <c r="J12" s="4" t="str">
        <f>IFERROR(VLOOKUP('Gr. F+'!H21,'Gr. F+'!$D$8:$E$13,2,0),"-")</f>
        <v>Dennis</v>
      </c>
      <c r="K12" s="5" t="s">
        <v>19</v>
      </c>
      <c r="L12" s="4" t="str">
        <f>IFERROR(VLOOKUP('Gr. F+'!J21,'Gr. F+'!$D$8:$E$13,2,0),"-")</f>
        <v>Cinek</v>
      </c>
      <c r="M12" s="4">
        <v>0</v>
      </c>
      <c r="N12" s="5" t="s">
        <v>19</v>
      </c>
      <c r="O12" s="4">
        <v>3</v>
      </c>
    </row>
    <row r="13" spans="1:15" s="49" customFormat="1" ht="18" customHeight="1" thickBot="1" x14ac:dyDescent="0.35">
      <c r="A13" s="4" t="s">
        <v>6</v>
      </c>
      <c r="B13" s="4" t="str">
        <f>IFERROR(VLOOKUP('Gr. F+'!C22,'Gr. F+'!$D$8:$E$13,2,0),"-")</f>
        <v>Cinek</v>
      </c>
      <c r="C13" s="5" t="s">
        <v>19</v>
      </c>
      <c r="D13" s="4" t="str">
        <f>IFERROR(VLOOKUP('Gr. F+'!E22,'Gr. F+'!$D$8:$E$13,2,0),"-")</f>
        <v>Andib</v>
      </c>
      <c r="E13" s="4">
        <v>0</v>
      </c>
      <c r="F13" s="5" t="s">
        <v>19</v>
      </c>
      <c r="G13" s="4">
        <v>2</v>
      </c>
      <c r="H13" s="6"/>
      <c r="I13" s="4" t="s">
        <v>26</v>
      </c>
      <c r="J13" s="4" t="str">
        <f>IFERROR(VLOOKUP('Gr. F+'!H22,'Gr. F+'!$D$8:$E$13,2,0),"-")</f>
        <v>Andib</v>
      </c>
      <c r="K13" s="5" t="s">
        <v>19</v>
      </c>
      <c r="L13" s="4" t="str">
        <f>IFERROR(VLOOKUP('Gr. F+'!J22,'Gr. F+'!$D$8:$E$13,2,0),"-")</f>
        <v>Cinek</v>
      </c>
      <c r="M13" s="4">
        <v>1</v>
      </c>
      <c r="N13" s="5" t="s">
        <v>19</v>
      </c>
      <c r="O13" s="4">
        <v>1</v>
      </c>
    </row>
    <row r="14" spans="1:15" s="49" customFormat="1" ht="18" customHeight="1" thickBot="1" x14ac:dyDescent="0.35">
      <c r="A14" s="4" t="s">
        <v>7</v>
      </c>
      <c r="B14" s="4" t="str">
        <f>IFERROR(VLOOKUP('Gr. F+'!C23,'Gr. F+'!$D$8:$E$13,2,0),"-")</f>
        <v>Cinek</v>
      </c>
      <c r="C14" s="5" t="s">
        <v>19</v>
      </c>
      <c r="D14" s="4" t="str">
        <f>IFERROR(VLOOKUP('Gr. F+'!E23,'Gr. F+'!$D$8:$E$13,2,0),"-")</f>
        <v>Team Oelkohold</v>
      </c>
      <c r="E14" s="4">
        <v>0</v>
      </c>
      <c r="F14" s="5" t="s">
        <v>19</v>
      </c>
      <c r="G14" s="4">
        <v>3</v>
      </c>
      <c r="H14" s="6"/>
      <c r="I14" s="4" t="s">
        <v>27</v>
      </c>
      <c r="J14" s="4" t="str">
        <f>IFERROR(VLOOKUP('Gr. F+'!H23,'Gr. F+'!$D$8:$E$13,2,0),"-")</f>
        <v>Team Oelkohold</v>
      </c>
      <c r="K14" s="5" t="s">
        <v>19</v>
      </c>
      <c r="L14" s="4" t="str">
        <f>IFERROR(VLOOKUP('Gr. F+'!J23,'Gr. F+'!$D$8:$E$13,2,0),"-")</f>
        <v>Cinek</v>
      </c>
      <c r="M14" s="4">
        <v>1</v>
      </c>
      <c r="N14" s="5" t="s">
        <v>19</v>
      </c>
      <c r="O14" s="4">
        <v>3</v>
      </c>
    </row>
    <row r="15" spans="1:15" s="49" customFormat="1" ht="18" customHeight="1" thickBot="1" x14ac:dyDescent="0.35">
      <c r="A15" s="4" t="s">
        <v>8</v>
      </c>
      <c r="B15" s="4" t="str">
        <f>IFERROR(VLOOKUP('Gr. F+'!C24,'Gr. F+'!$D$8:$E$13,2,0),"-")</f>
        <v>Cinek</v>
      </c>
      <c r="C15" s="5" t="s">
        <v>19</v>
      </c>
      <c r="D15" s="4" t="str">
        <f>IFERROR(VLOOKUP('Gr. F+'!E24,'Gr. F+'!$D$8:$E$13,2,0),"-")</f>
        <v>Enbino</v>
      </c>
      <c r="E15" s="4">
        <v>3</v>
      </c>
      <c r="F15" s="5" t="s">
        <v>19</v>
      </c>
      <c r="G15" s="4">
        <v>2</v>
      </c>
      <c r="H15" s="6"/>
      <c r="I15" s="4" t="s">
        <v>28</v>
      </c>
      <c r="J15" s="4" t="str">
        <f>IFERROR(VLOOKUP('Gr. F+'!H24,'Gr. F+'!$D$8:$E$13,2,0),"-")</f>
        <v>Enbino</v>
      </c>
      <c r="K15" s="5" t="s">
        <v>19</v>
      </c>
      <c r="L15" s="4" t="str">
        <f>IFERROR(VLOOKUP('Gr. F+'!J24,'Gr. F+'!$D$8:$E$13,2,0),"-")</f>
        <v>Cinek</v>
      </c>
      <c r="M15" s="4">
        <v>0</v>
      </c>
      <c r="N15" s="5" t="s">
        <v>19</v>
      </c>
      <c r="O15" s="4">
        <v>3</v>
      </c>
    </row>
    <row r="16" spans="1:15" s="49" customFormat="1" ht="18" customHeight="1" thickBot="1" x14ac:dyDescent="0.35">
      <c r="A16" s="4" t="s">
        <v>9</v>
      </c>
      <c r="B16" s="4" t="str">
        <f>IFERROR(VLOOKUP('Gr. F+'!C25,'Gr. F+'!$D$8:$E$13,2,0),"-")</f>
        <v>Dennis</v>
      </c>
      <c r="C16" s="5" t="s">
        <v>19</v>
      </c>
      <c r="D16" s="4" t="str">
        <f>IFERROR(VLOOKUP('Gr. F+'!E25,'Gr. F+'!$D$8:$E$13,2,0),"-")</f>
        <v>Andib</v>
      </c>
      <c r="E16" s="4">
        <v>1</v>
      </c>
      <c r="F16" s="5" t="s">
        <v>19</v>
      </c>
      <c r="G16" s="4">
        <v>0</v>
      </c>
      <c r="H16" s="6"/>
      <c r="I16" s="4" t="s">
        <v>29</v>
      </c>
      <c r="J16" s="4" t="str">
        <f>IFERROR(VLOOKUP('Gr. F+'!H25,'Gr. F+'!$D$8:$E$13,2,0),"-")</f>
        <v>Andib</v>
      </c>
      <c r="K16" s="5" t="s">
        <v>19</v>
      </c>
      <c r="L16" s="4" t="str">
        <f>IFERROR(VLOOKUP('Gr. F+'!J25,'Gr. F+'!$D$8:$E$13,2,0),"-")</f>
        <v>Dennis</v>
      </c>
      <c r="M16" s="4">
        <v>4</v>
      </c>
      <c r="N16" s="5" t="s">
        <v>19</v>
      </c>
      <c r="O16" s="4">
        <v>2</v>
      </c>
    </row>
    <row r="17" spans="1:15" s="49" customFormat="1" ht="18" customHeight="1" thickBot="1" x14ac:dyDescent="0.35">
      <c r="A17" s="4" t="s">
        <v>10</v>
      </c>
      <c r="B17" s="4" t="str">
        <f>IFERROR(VLOOKUP('Gr. F+'!C26,'Gr. F+'!$D$8:$E$13,2,0),"-")</f>
        <v>Dennis</v>
      </c>
      <c r="C17" s="5" t="s">
        <v>19</v>
      </c>
      <c r="D17" s="4" t="str">
        <f>IFERROR(VLOOKUP('Gr. F+'!E26,'Gr. F+'!$D$8:$E$13,2,0),"-")</f>
        <v>Team Oelkohold</v>
      </c>
      <c r="E17" s="4">
        <v>2</v>
      </c>
      <c r="F17" s="5" t="s">
        <v>19</v>
      </c>
      <c r="G17" s="4">
        <v>1</v>
      </c>
      <c r="H17" s="6"/>
      <c r="I17" s="4" t="s">
        <v>30</v>
      </c>
      <c r="J17" s="4" t="str">
        <f>IFERROR(VLOOKUP('Gr. F+'!H26,'Gr. F+'!$D$8:$E$13,2,0),"-")</f>
        <v>Team Oelkohold</v>
      </c>
      <c r="K17" s="5" t="s">
        <v>19</v>
      </c>
      <c r="L17" s="4" t="str">
        <f>IFERROR(VLOOKUP('Gr. F+'!J26,'Gr. F+'!$D$8:$E$13,2,0),"-")</f>
        <v>Dennis</v>
      </c>
      <c r="M17" s="4">
        <v>3</v>
      </c>
      <c r="N17" s="5" t="s">
        <v>19</v>
      </c>
      <c r="O17" s="4">
        <v>0</v>
      </c>
    </row>
    <row r="18" spans="1:15" s="49" customFormat="1" ht="18" customHeight="1" thickBot="1" x14ac:dyDescent="0.35">
      <c r="A18" s="4" t="s">
        <v>11</v>
      </c>
      <c r="B18" s="4" t="str">
        <f>IFERROR(VLOOKUP('Gr. F+'!C27,'Gr. F+'!$D$8:$E$13,2,0),"-")</f>
        <v>Dennis</v>
      </c>
      <c r="C18" s="5" t="s">
        <v>19</v>
      </c>
      <c r="D18" s="4" t="str">
        <f>IFERROR(VLOOKUP('Gr. F+'!E27,'Gr. F+'!$D$8:$E$13,2,0),"-")</f>
        <v>Enbino</v>
      </c>
      <c r="E18" s="4">
        <v>1</v>
      </c>
      <c r="F18" s="5" t="s">
        <v>19</v>
      </c>
      <c r="G18" s="4">
        <v>0</v>
      </c>
      <c r="H18" s="6"/>
      <c r="I18" s="4" t="s">
        <v>31</v>
      </c>
      <c r="J18" s="4" t="str">
        <f>IFERROR(VLOOKUP('Gr. F+'!H27,'Gr. F+'!$D$8:$E$13,2,0),"-")</f>
        <v>Enbino</v>
      </c>
      <c r="K18" s="5" t="s">
        <v>19</v>
      </c>
      <c r="L18" s="4" t="str">
        <f>IFERROR(VLOOKUP('Gr. F+'!J27,'Gr. F+'!$D$8:$E$13,2,0),"-")</f>
        <v>Dennis</v>
      </c>
      <c r="M18" s="4">
        <v>0</v>
      </c>
      <c r="N18" s="5" t="s">
        <v>19</v>
      </c>
      <c r="O18" s="4">
        <v>6</v>
      </c>
    </row>
    <row r="19" spans="1:15" s="49" customFormat="1" ht="18" customHeight="1" thickBot="1" x14ac:dyDescent="0.35">
      <c r="A19" s="4" t="s">
        <v>12</v>
      </c>
      <c r="B19" s="4" t="str">
        <f>IFERROR(VLOOKUP('Gr. F+'!C28,'Gr. F+'!$D$8:$E$13,2,0),"-")</f>
        <v>Andib</v>
      </c>
      <c r="C19" s="5" t="s">
        <v>19</v>
      </c>
      <c r="D19" s="4" t="str">
        <f>IFERROR(VLOOKUP('Gr. F+'!E28,'Gr. F+'!$D$8:$E$13,2,0),"-")</f>
        <v>Team Oelkohold</v>
      </c>
      <c r="E19" s="4">
        <v>2</v>
      </c>
      <c r="F19" s="5" t="s">
        <v>19</v>
      </c>
      <c r="G19" s="4">
        <v>1</v>
      </c>
      <c r="H19" s="6"/>
      <c r="I19" s="4" t="s">
        <v>32</v>
      </c>
      <c r="J19" s="4" t="str">
        <f>IFERROR(VLOOKUP('Gr. F+'!H28,'Gr. F+'!$D$8:$E$13,2,0),"-")</f>
        <v>Team Oelkohold</v>
      </c>
      <c r="K19" s="5" t="s">
        <v>19</v>
      </c>
      <c r="L19" s="4" t="str">
        <f>IFERROR(VLOOKUP('Gr. F+'!J28,'Gr. F+'!$D$8:$E$13,2,0),"-")</f>
        <v>Andib</v>
      </c>
      <c r="M19" s="4">
        <v>0</v>
      </c>
      <c r="N19" s="5" t="s">
        <v>19</v>
      </c>
      <c r="O19" s="4">
        <v>2</v>
      </c>
    </row>
    <row r="20" spans="1:15" s="49" customFormat="1" ht="18" customHeight="1" thickBot="1" x14ac:dyDescent="0.35">
      <c r="A20" s="4" t="s">
        <v>13</v>
      </c>
      <c r="B20" s="4" t="str">
        <f>IFERROR(VLOOKUP('Gr. F+'!C29,'Gr. F+'!$D$8:$E$13,2,0),"-")</f>
        <v>Andib</v>
      </c>
      <c r="C20" s="5" t="s">
        <v>19</v>
      </c>
      <c r="D20" s="4" t="str">
        <f>IFERROR(VLOOKUP('Gr. F+'!E29,'Gr. F+'!$D$8:$E$13,2,0),"-")</f>
        <v>Enbino</v>
      </c>
      <c r="E20" s="4">
        <v>6</v>
      </c>
      <c r="F20" s="5" t="s">
        <v>19</v>
      </c>
      <c r="G20" s="4">
        <v>0</v>
      </c>
      <c r="H20" s="6"/>
      <c r="I20" s="4" t="s">
        <v>33</v>
      </c>
      <c r="J20" s="4" t="str">
        <f>IFERROR(VLOOKUP('Gr. F+'!H29,'Gr. F+'!$D$8:$E$13,2,0),"-")</f>
        <v>Enbino</v>
      </c>
      <c r="K20" s="5" t="s">
        <v>19</v>
      </c>
      <c r="L20" s="4" t="str">
        <f>IFERROR(VLOOKUP('Gr. F+'!J29,'Gr. F+'!$D$8:$E$13,2,0),"-")</f>
        <v>Andib</v>
      </c>
      <c r="M20" s="4">
        <v>0</v>
      </c>
      <c r="N20" s="5" t="s">
        <v>19</v>
      </c>
      <c r="O20" s="4">
        <v>5</v>
      </c>
    </row>
    <row r="21" spans="1:15" s="49" customFormat="1" ht="18" customHeight="1" thickBot="1" x14ac:dyDescent="0.35">
      <c r="A21" s="4" t="s">
        <v>14</v>
      </c>
      <c r="B21" s="4" t="str">
        <f>IFERROR(VLOOKUP('Gr. F+'!C30,'Gr. F+'!$D$8:$E$13,2,0),"-")</f>
        <v>Team Oelkohold</v>
      </c>
      <c r="C21" s="5" t="s">
        <v>19</v>
      </c>
      <c r="D21" s="4" t="str">
        <f>IFERROR(VLOOKUP('Gr. F+'!E30,'Gr. F+'!$D$8:$E$13,2,0),"-")</f>
        <v>Enbino</v>
      </c>
      <c r="E21" s="4">
        <v>3</v>
      </c>
      <c r="F21" s="5" t="s">
        <v>19</v>
      </c>
      <c r="G21" s="4">
        <v>2</v>
      </c>
      <c r="H21" s="6"/>
      <c r="I21" s="4" t="s">
        <v>34</v>
      </c>
      <c r="J21" s="4" t="str">
        <f>IFERROR(VLOOKUP('Gr. F+'!H30,'Gr. F+'!$D$8:$E$13,2,0),"-")</f>
        <v>Enbino</v>
      </c>
      <c r="K21" s="5" t="s">
        <v>19</v>
      </c>
      <c r="L21" s="4" t="str">
        <f>IFERROR(VLOOKUP('Gr. F+'!J30,'Gr. F+'!$D$8:$E$13,2,0),"-")</f>
        <v>Team Oelkohold</v>
      </c>
      <c r="M21" s="4">
        <v>1</v>
      </c>
      <c r="N21" s="5" t="s">
        <v>19</v>
      </c>
      <c r="O21" s="4">
        <v>2</v>
      </c>
    </row>
  </sheetData>
  <mergeCells count="11">
    <mergeCell ref="B4:D4"/>
    <mergeCell ref="J4:L4"/>
    <mergeCell ref="E6:G6"/>
    <mergeCell ref="M6:O6"/>
    <mergeCell ref="B1:D1"/>
    <mergeCell ref="J1:L1"/>
    <mergeCell ref="B2:D2"/>
    <mergeCell ref="E2:I3"/>
    <mergeCell ref="J2:L2"/>
    <mergeCell ref="B3:D3"/>
    <mergeCell ref="J3:L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workbookViewId="0">
      <selection activeCell="A4" sqref="A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79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">
        <v>146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">
        <v>144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">
        <v>145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">
        <v>143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">
        <v>147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">
        <v>148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215" t="s">
        <v>18</v>
      </c>
      <c r="C15" s="215" t="s">
        <v>15</v>
      </c>
      <c r="D15" s="215"/>
      <c r="E15" s="215" t="s">
        <v>16</v>
      </c>
      <c r="F15" s="3"/>
      <c r="G15" s="215" t="s">
        <v>18</v>
      </c>
      <c r="H15" s="215" t="s">
        <v>15</v>
      </c>
      <c r="I15" s="215"/>
      <c r="J15" s="215" t="s">
        <v>16</v>
      </c>
    </row>
    <row r="16" spans="2:10" ht="16.2" thickBot="1" x14ac:dyDescent="0.35">
      <c r="B16" s="4" t="s">
        <v>0</v>
      </c>
      <c r="C16" s="4">
        <v>1</v>
      </c>
      <c r="D16" s="5" t="s">
        <v>19</v>
      </c>
      <c r="E16" s="4">
        <v>2</v>
      </c>
      <c r="F16" s="6"/>
      <c r="G16" s="4" t="s">
        <v>20</v>
      </c>
      <c r="H16" s="4">
        <v>2</v>
      </c>
      <c r="I16" s="5" t="s">
        <v>19</v>
      </c>
      <c r="J16" s="4">
        <v>1</v>
      </c>
    </row>
    <row r="17" spans="2:10" ht="16.2" thickBot="1" x14ac:dyDescent="0.35">
      <c r="B17" s="4" t="s">
        <v>1</v>
      </c>
      <c r="C17" s="4">
        <v>1</v>
      </c>
      <c r="D17" s="5" t="s">
        <v>19</v>
      </c>
      <c r="E17" s="4">
        <v>3</v>
      </c>
      <c r="F17" s="6"/>
      <c r="G17" s="4" t="s">
        <v>21</v>
      </c>
      <c r="H17" s="4">
        <v>3</v>
      </c>
      <c r="I17" s="5" t="s">
        <v>19</v>
      </c>
      <c r="J17" s="4">
        <v>1</v>
      </c>
    </row>
    <row r="18" spans="2:10" ht="16.2" thickBot="1" x14ac:dyDescent="0.35">
      <c r="B18" s="4" t="s">
        <v>2</v>
      </c>
      <c r="C18" s="4">
        <v>1</v>
      </c>
      <c r="D18" s="5" t="s">
        <v>19</v>
      </c>
      <c r="E18" s="4">
        <v>4</v>
      </c>
      <c r="F18" s="6"/>
      <c r="G18" s="4" t="s">
        <v>22</v>
      </c>
      <c r="H18" s="4">
        <v>4</v>
      </c>
      <c r="I18" s="5" t="s">
        <v>19</v>
      </c>
      <c r="J18" s="4">
        <v>1</v>
      </c>
    </row>
    <row r="19" spans="2:10" ht="16.2" thickBot="1" x14ac:dyDescent="0.35">
      <c r="B19" s="4" t="s">
        <v>3</v>
      </c>
      <c r="C19" s="4">
        <v>1</v>
      </c>
      <c r="D19" s="5" t="s">
        <v>19</v>
      </c>
      <c r="E19" s="4">
        <v>5</v>
      </c>
      <c r="F19" s="6"/>
      <c r="G19" s="4" t="s">
        <v>23</v>
      </c>
      <c r="H19" s="4">
        <v>5</v>
      </c>
      <c r="I19" s="5" t="s">
        <v>19</v>
      </c>
      <c r="J19" s="4">
        <v>1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6</v>
      </c>
      <c r="F20" s="6"/>
      <c r="G20" s="4" t="s">
        <v>24</v>
      </c>
      <c r="H20" s="4">
        <v>6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2</v>
      </c>
      <c r="D21" s="5" t="s">
        <v>19</v>
      </c>
      <c r="E21" s="4">
        <v>3</v>
      </c>
      <c r="F21" s="6"/>
      <c r="G21" s="4" t="s">
        <v>25</v>
      </c>
      <c r="H21" s="4">
        <v>3</v>
      </c>
      <c r="I21" s="5" t="s">
        <v>19</v>
      </c>
      <c r="J21" s="4">
        <v>2</v>
      </c>
    </row>
    <row r="22" spans="2:10" ht="16.2" thickBot="1" x14ac:dyDescent="0.35">
      <c r="B22" s="4" t="s">
        <v>6</v>
      </c>
      <c r="C22" s="4">
        <v>2</v>
      </c>
      <c r="D22" s="5" t="s">
        <v>19</v>
      </c>
      <c r="E22" s="4">
        <v>4</v>
      </c>
      <c r="F22" s="6"/>
      <c r="G22" s="4" t="s">
        <v>26</v>
      </c>
      <c r="H22" s="4">
        <v>4</v>
      </c>
      <c r="I22" s="5" t="s">
        <v>19</v>
      </c>
      <c r="J22" s="4">
        <v>2</v>
      </c>
    </row>
    <row r="23" spans="2:10" ht="16.2" thickBot="1" x14ac:dyDescent="0.35">
      <c r="B23" s="4" t="s">
        <v>7</v>
      </c>
      <c r="C23" s="4">
        <v>2</v>
      </c>
      <c r="D23" s="5" t="s">
        <v>19</v>
      </c>
      <c r="E23" s="4">
        <v>5</v>
      </c>
      <c r="F23" s="6"/>
      <c r="G23" s="4" t="s">
        <v>27</v>
      </c>
      <c r="H23" s="4">
        <v>5</v>
      </c>
      <c r="I23" s="5" t="s">
        <v>19</v>
      </c>
      <c r="J23" s="4">
        <v>2</v>
      </c>
    </row>
    <row r="24" spans="2:10" ht="16.2" thickBot="1" x14ac:dyDescent="0.35">
      <c r="B24" s="4" t="s">
        <v>8</v>
      </c>
      <c r="C24" s="4">
        <v>2</v>
      </c>
      <c r="D24" s="5" t="s">
        <v>19</v>
      </c>
      <c r="E24" s="4">
        <v>6</v>
      </c>
      <c r="F24" s="6"/>
      <c r="G24" s="4" t="s">
        <v>28</v>
      </c>
      <c r="H24" s="4">
        <v>6</v>
      </c>
      <c r="I24" s="5" t="s">
        <v>19</v>
      </c>
      <c r="J24" s="4">
        <v>2</v>
      </c>
    </row>
    <row r="25" spans="2:10" ht="16.2" thickBot="1" x14ac:dyDescent="0.35">
      <c r="B25" s="4" t="s">
        <v>9</v>
      </c>
      <c r="C25" s="4">
        <v>3</v>
      </c>
      <c r="D25" s="5" t="s">
        <v>19</v>
      </c>
      <c r="E25" s="4">
        <v>4</v>
      </c>
      <c r="F25" s="6"/>
      <c r="G25" s="4" t="s">
        <v>29</v>
      </c>
      <c r="H25" s="4">
        <v>4</v>
      </c>
      <c r="I25" s="5" t="s">
        <v>19</v>
      </c>
      <c r="J25" s="4">
        <v>3</v>
      </c>
    </row>
    <row r="26" spans="2:10" ht="16.2" thickBot="1" x14ac:dyDescent="0.35">
      <c r="B26" s="4" t="s">
        <v>10</v>
      </c>
      <c r="C26" s="4">
        <v>3</v>
      </c>
      <c r="D26" s="5" t="s">
        <v>19</v>
      </c>
      <c r="E26" s="4">
        <v>5</v>
      </c>
      <c r="F26" s="6"/>
      <c r="G26" s="4" t="s">
        <v>30</v>
      </c>
      <c r="H26" s="4">
        <v>5</v>
      </c>
      <c r="I26" s="5" t="s">
        <v>19</v>
      </c>
      <c r="J26" s="4">
        <v>3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6</v>
      </c>
      <c r="F27" s="6"/>
      <c r="G27" s="4" t="s">
        <v>31</v>
      </c>
      <c r="H27" s="4">
        <v>6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4</v>
      </c>
      <c r="D28" s="5" t="s">
        <v>19</v>
      </c>
      <c r="E28" s="4">
        <v>5</v>
      </c>
      <c r="F28" s="6"/>
      <c r="G28" s="4" t="s">
        <v>32</v>
      </c>
      <c r="H28" s="4">
        <v>5</v>
      </c>
      <c r="I28" s="5" t="s">
        <v>19</v>
      </c>
      <c r="J28" s="4">
        <v>4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6</v>
      </c>
      <c r="F29" s="6"/>
      <c r="G29" s="4" t="s">
        <v>33</v>
      </c>
      <c r="H29" s="4">
        <v>6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5</v>
      </c>
      <c r="D30" s="5" t="s">
        <v>19</v>
      </c>
      <c r="E30" s="4">
        <v>6</v>
      </c>
      <c r="F30" s="6"/>
      <c r="G30" s="4" t="s">
        <v>34</v>
      </c>
      <c r="H30" s="4">
        <v>6</v>
      </c>
      <c r="I30" s="5" t="s">
        <v>19</v>
      </c>
      <c r="J30" s="4">
        <v>5</v>
      </c>
    </row>
  </sheetData>
  <mergeCells count="8">
    <mergeCell ref="E12:H12"/>
    <mergeCell ref="E13:H13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/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'Gr. F+'!D2</f>
        <v>Group F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AbelXavier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7</v>
      </c>
      <c r="V3" s="21">
        <f t="array" ref="V3">SUM((home=S3)*(homescore=visitorscore)*ISNUMBER(visitorscore),(visitor=S3)*(visitorscore=homescore)*ISNUMBER(homescore))</f>
        <v>1</v>
      </c>
      <c r="W3" s="21">
        <f t="array" ref="W3">SUM((home=S3)*(homescore&lt;visitorscore),(visitor=S3)*(visitorscore&lt;homescore))</f>
        <v>2</v>
      </c>
      <c r="X3" s="32">
        <f t="shared" ref="X3" si="1">SUMIF(home,S3,homescore)+SUMIF(visitor,S3,visitorscore)</f>
        <v>23</v>
      </c>
      <c r="Y3" s="33">
        <f t="shared" ref="Y3" si="2">SUMIF(home,S3,visitorscore)+SUMIF(visitor,S3,homescore)</f>
        <v>6</v>
      </c>
      <c r="Z3" s="34">
        <f>X3-Y3</f>
        <v>17</v>
      </c>
      <c r="AA3" s="32">
        <f>U3*3+V3</f>
        <v>22</v>
      </c>
      <c r="AB3" s="20">
        <f>X3+Z3*10000+AA3*1000000000</f>
        <v>22000170023</v>
      </c>
    </row>
    <row r="4" spans="1:28" x14ac:dyDescent="0.3">
      <c r="A4" s="35" t="str">
        <f>'Gr. F+'!E8</f>
        <v>AbelXavier</v>
      </c>
      <c r="B4" s="19"/>
      <c r="C4" s="19"/>
      <c r="S4" s="36" t="str">
        <f t="shared" si="0"/>
        <v>Cinek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6</v>
      </c>
      <c r="V4" s="21">
        <f t="array" ref="V4">SUM((home=S4)*(homescore=visitorscore)*ISNUMBER(visitorscore),(visitor=S4)*(visitorscore=homescore)*ISNUMBER(homescore))</f>
        <v>1</v>
      </c>
      <c r="W4" s="21">
        <f t="array" ref="W4">SUM((home=S4)*(homescore&lt;visitorscore),(visitor=S4)*(visitorscore&lt;homescore))</f>
        <v>3</v>
      </c>
      <c r="X4" s="32">
        <f t="shared" ref="X4" si="3">SUMIF(home,S4,homescore)+SUMIF(visitor,S4,visitorscore)</f>
        <v>16</v>
      </c>
      <c r="Y4" s="33">
        <f t="shared" ref="Y4" si="4">SUMIF(home,S4,visitorscore)+SUMIF(visitor,S4,homescore)</f>
        <v>13</v>
      </c>
      <c r="Z4" s="34">
        <f t="shared" ref="Z4:Z8" si="5">X4-Y4</f>
        <v>3</v>
      </c>
      <c r="AA4" s="32">
        <f t="shared" ref="AA4:AA8" si="6">U4*3+V4</f>
        <v>19</v>
      </c>
      <c r="AB4" s="20">
        <f t="shared" ref="AB4:AB8" si="7">X4+Z4*10000+AA4*1000000000</f>
        <v>19000030016</v>
      </c>
    </row>
    <row r="5" spans="1:28" x14ac:dyDescent="0.3">
      <c r="A5" s="35" t="str">
        <f>'Gr. F+'!E9</f>
        <v>Cinek</v>
      </c>
      <c r="B5" s="19"/>
      <c r="C5" s="19"/>
      <c r="S5" s="36" t="str">
        <f t="shared" si="0"/>
        <v>Dennis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4</v>
      </c>
      <c r="V5" s="21">
        <f t="array" ref="V5">SUM((home=S5)*(homescore=visitorscore)*ISNUMBER(visitorscore),(visitor=S5)*(visitorscore=homescore)*ISNUMBER(homescore))</f>
        <v>0</v>
      </c>
      <c r="W5" s="21">
        <f t="array" ref="W5">SUM((home=S5)*(homescore&lt;visitorscore),(visitor=S5)*(visitorscore&lt;homescore))</f>
        <v>6</v>
      </c>
      <c r="X5" s="32">
        <f t="shared" ref="X5" si="8">SUMIF(home,S5,homescore)+SUMIF(visitor,S5,visitorscore)</f>
        <v>12</v>
      </c>
      <c r="Y5" s="33">
        <f t="shared" ref="Y5" si="9">SUMIF(home,S5,visitorscore)+SUMIF(visitor,S5,homescore)</f>
        <v>18</v>
      </c>
      <c r="Z5" s="34">
        <f t="shared" si="5"/>
        <v>-6</v>
      </c>
      <c r="AA5" s="32">
        <f t="shared" si="6"/>
        <v>12</v>
      </c>
      <c r="AB5" s="20">
        <f t="shared" si="7"/>
        <v>11999940012</v>
      </c>
    </row>
    <row r="6" spans="1:28" x14ac:dyDescent="0.3">
      <c r="A6" s="35" t="str">
        <f>'Gr. F+'!E10</f>
        <v>Dennis</v>
      </c>
      <c r="B6" s="19"/>
      <c r="C6" s="19"/>
      <c r="S6" s="36" t="str">
        <f t="shared" si="0"/>
        <v>Andib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7</v>
      </c>
      <c r="V6" s="21">
        <f t="array" ref="V6">SUM((home=S6)*(homescore=visitorscore)*ISNUMBER(visitorscore),(visitor=S6)*(visitorscore=homescore)*ISNUMBER(homescore))</f>
        <v>1</v>
      </c>
      <c r="W6" s="21">
        <f t="array" ref="W6">SUM((home=S6)*(homescore&lt;visitorscore),(visitor=S6)*(visitorscore&lt;homescore))</f>
        <v>2</v>
      </c>
      <c r="X6" s="32">
        <f t="shared" ref="X6" si="10">SUMIF(home,S6,homescore)+SUMIF(visitor,S6,visitorscore)</f>
        <v>23</v>
      </c>
      <c r="Y6" s="33">
        <f t="shared" ref="Y6" si="11">SUMIF(home,S6,visitorscore)+SUMIF(visitor,S6,homescore)</f>
        <v>6</v>
      </c>
      <c r="Z6" s="34">
        <f t="shared" si="5"/>
        <v>17</v>
      </c>
      <c r="AA6" s="32">
        <f t="shared" si="6"/>
        <v>22</v>
      </c>
      <c r="AB6" s="20">
        <f t="shared" si="7"/>
        <v>22000170023</v>
      </c>
    </row>
    <row r="7" spans="1:28" x14ac:dyDescent="0.3">
      <c r="A7" s="35" t="str">
        <f>'Gr. F+'!E11</f>
        <v>Andib</v>
      </c>
      <c r="B7" s="19"/>
      <c r="C7" s="19"/>
      <c r="S7" s="37" t="str">
        <f t="shared" si="0"/>
        <v>Team Oelkohold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4</v>
      </c>
      <c r="V7" s="21">
        <f t="array" ref="V7">SUM((home=S7)*(homescore=visitorscore)*ISNUMBER(visitorscore),(visitor=S7)*(visitorscore=homescore)*ISNUMBER(homescore))</f>
        <v>1</v>
      </c>
      <c r="W7" s="21">
        <f t="array" ref="W7">SUM((home=S7)*(homescore&lt;visitorscore),(visitor=S7)*(visitorscore&lt;homescore))</f>
        <v>5</v>
      </c>
      <c r="X7" s="32">
        <f t="shared" ref="X7" si="12">SUMIF(home,S7,homescore)+SUMIF(visitor,S7,visitorscore)</f>
        <v>17</v>
      </c>
      <c r="Y7" s="33">
        <f t="shared" ref="Y7" si="13">SUMIF(home,S7,visitorscore)+SUMIF(visitor,S7,homescore)</f>
        <v>17</v>
      </c>
      <c r="Z7" s="34">
        <f t="shared" si="5"/>
        <v>0</v>
      </c>
      <c r="AA7" s="32">
        <f t="shared" si="6"/>
        <v>13</v>
      </c>
      <c r="AB7" s="20">
        <f t="shared" si="7"/>
        <v>13000000017</v>
      </c>
    </row>
    <row r="8" spans="1:28" x14ac:dyDescent="0.3">
      <c r="A8" s="35" t="str">
        <f>'Gr. F+'!E12</f>
        <v>Team Oelkohold</v>
      </c>
      <c r="B8" s="19"/>
      <c r="C8" s="19"/>
      <c r="S8" s="37" t="str">
        <f t="shared" si="0"/>
        <v>Enbino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0</v>
      </c>
      <c r="V8" s="21">
        <f t="array" ref="V8">SUM((home=S8)*(homescore=visitorscore)*ISNUMBER(visitorscore),(visitor=S8)*(visitorscore=homescore)*ISNUMBER(homescore))</f>
        <v>0</v>
      </c>
      <c r="W8" s="21">
        <f t="array" ref="W8">SUM((home=S8)*(homescore&lt;visitorscore),(visitor=S8)*(visitorscore&lt;homescore))</f>
        <v>10</v>
      </c>
      <c r="X8" s="32">
        <f t="shared" ref="X8" si="14">SUMIF(home,S8,homescore)+SUMIF(visitor,S8,visitorscore)</f>
        <v>5</v>
      </c>
      <c r="Y8" s="33">
        <f t="shared" ref="Y8" si="15">SUMIF(home,S8,visitorscore)+SUMIF(visitor,S8,homescore)</f>
        <v>36</v>
      </c>
      <c r="Z8" s="34">
        <f t="shared" si="5"/>
        <v>-31</v>
      </c>
      <c r="AA8" s="32">
        <f t="shared" si="6"/>
        <v>0</v>
      </c>
      <c r="AB8" s="20">
        <f t="shared" si="7"/>
        <v>-309995</v>
      </c>
    </row>
    <row r="9" spans="1:28" x14ac:dyDescent="0.3">
      <c r="A9" s="35" t="str">
        <f>'Gr. F+'!E13</f>
        <v>Enbino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'Gr. F'!B7</f>
        <v>AbelXavier</v>
      </c>
      <c r="B13" s="39" t="str">
        <f>'Gr. F'!D7</f>
        <v>Cinek</v>
      </c>
      <c r="C13" s="40">
        <f>IF('Gr. F'!E7="","",'Gr. F'!E7)</f>
        <v>4</v>
      </c>
      <c r="D13" s="40" t="s">
        <v>64</v>
      </c>
      <c r="E13" s="40">
        <f>IF('Gr. F'!G7="","",'Gr. F'!G7)</f>
        <v>0</v>
      </c>
      <c r="F13" s="34"/>
    </row>
    <row r="14" spans="1:28" x14ac:dyDescent="0.3">
      <c r="A14" s="39" t="str">
        <f>'Gr. F'!B8</f>
        <v>AbelXavier</v>
      </c>
      <c r="B14" s="39" t="str">
        <f>'Gr. F'!D8</f>
        <v>Dennis</v>
      </c>
      <c r="C14" s="40">
        <f>IF('Gr. F'!E8="","",'Gr. F'!E8)</f>
        <v>2</v>
      </c>
      <c r="D14" s="40" t="s">
        <v>64</v>
      </c>
      <c r="E14" s="40">
        <f>IF('Gr. F'!G8="","",'Gr. F'!G8)</f>
        <v>0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'Gr. F'!B9</f>
        <v>AbelXavier</v>
      </c>
      <c r="B15" s="39" t="str">
        <f>'Gr. F'!D9</f>
        <v>Andib</v>
      </c>
      <c r="C15" s="40">
        <f>IF('Gr. F'!E9="","",'Gr. F'!E9)</f>
        <v>1</v>
      </c>
      <c r="D15" s="40" t="s">
        <v>64</v>
      </c>
      <c r="E15" s="40">
        <f>IF('Gr. F'!G9="","",'Gr. F'!G9)</f>
        <v>0</v>
      </c>
      <c r="F15" s="34"/>
      <c r="H15" s="42" t="str">
        <f t="array" ref="H15">INDEX($S$3:$S$8,MATCH(LARGE($AB$3:$AB$8-ROW($AB$3:$AB$8)/COUNT($AB$3:$AB$8),ROW(H15)-ROW(H$15)+1),$AB$3:$AB$8-ROW($AB$3:$AB$8)/COUNT($AB$3:$AB$8),0))</f>
        <v>AbelXavier</v>
      </c>
      <c r="I15" s="33">
        <f t="shared" ref="I15:I20" si="16">VLOOKUP($H15,$S$3:$AA$8,2,0)</f>
        <v>10</v>
      </c>
      <c r="J15" s="21">
        <f t="shared" ref="J15:J20" si="17">VLOOKUP($H15,$S$3:$AA$8,3,0)</f>
        <v>7</v>
      </c>
      <c r="K15" s="21">
        <f t="shared" ref="K15:K20" si="18">VLOOKUP($H15,$S$3:$AA$8,4,0)</f>
        <v>1</v>
      </c>
      <c r="L15" s="21">
        <f t="shared" ref="L15:L20" si="19">VLOOKUP($H15,$S$3:$AA$8,5,0)</f>
        <v>2</v>
      </c>
      <c r="M15" s="32">
        <f t="shared" ref="M15:M20" si="20">VLOOKUP($H15,$S$3:$AA$8,6,0)</f>
        <v>23</v>
      </c>
      <c r="N15" s="33">
        <f t="shared" ref="N15:N20" si="21">VLOOKUP($H15,$S$3:$AA$8,7,0)</f>
        <v>6</v>
      </c>
      <c r="O15" s="21">
        <f t="shared" ref="O15:O20" si="22">VLOOKUP($H15,$S$3:$AA$8,8,0)</f>
        <v>17</v>
      </c>
      <c r="P15" s="32">
        <f t="shared" ref="P15:P20" si="23">VLOOKUP($H15,$S$3:$AA$8,9,0)</f>
        <v>22</v>
      </c>
      <c r="Q15" s="21">
        <f>VLOOKUP(H15,'Master+'!$E$8:$H$15,3,0)</f>
        <v>0</v>
      </c>
    </row>
    <row r="16" spans="1:28" x14ac:dyDescent="0.3">
      <c r="A16" s="39" t="str">
        <f>'Gr. F'!B10</f>
        <v>AbelXavier</v>
      </c>
      <c r="B16" s="39" t="str">
        <f>'Gr. F'!D10</f>
        <v>Team Oelkohold</v>
      </c>
      <c r="C16" s="40">
        <f>IF('Gr. F'!E10="","",'Gr. F'!E10)</f>
        <v>2</v>
      </c>
      <c r="D16" s="40" t="s">
        <v>64</v>
      </c>
      <c r="E16" s="40">
        <f>IF('Gr. F'!G10="","",'Gr. F'!G10)</f>
        <v>2</v>
      </c>
      <c r="F16" s="34"/>
      <c r="H16" s="42" t="str">
        <f t="array" ref="H16">INDEX($S$3:$S$8,MATCH(LARGE($AB$3:$AB$8-ROW($AB$3:$AB$8)/COUNT($AB$3:$AB$8),ROW(H16)-ROW(H$15)+1),$AB$3:$AB$8-ROW($AB$3:$AB$8)/COUNT($AB$3:$AB$8),0))</f>
        <v>Andib</v>
      </c>
      <c r="I16" s="33">
        <f t="shared" si="16"/>
        <v>10</v>
      </c>
      <c r="J16" s="21">
        <f t="shared" si="17"/>
        <v>7</v>
      </c>
      <c r="K16" s="21">
        <f t="shared" si="18"/>
        <v>1</v>
      </c>
      <c r="L16" s="21">
        <f t="shared" si="19"/>
        <v>2</v>
      </c>
      <c r="M16" s="32">
        <f t="shared" si="20"/>
        <v>23</v>
      </c>
      <c r="N16" s="33">
        <f t="shared" si="21"/>
        <v>6</v>
      </c>
      <c r="O16" s="21">
        <f t="shared" si="22"/>
        <v>17</v>
      </c>
      <c r="P16" s="32">
        <f t="shared" si="23"/>
        <v>22</v>
      </c>
      <c r="Q16" s="21" t="e">
        <f>VLOOKUP(H16,'Master+'!$E$8:$H$15,3,0)</f>
        <v>#N/A</v>
      </c>
    </row>
    <row r="17" spans="1:17" x14ac:dyDescent="0.3">
      <c r="A17" s="39" t="str">
        <f>'Gr. F'!B11</f>
        <v>AbelXavier</v>
      </c>
      <c r="B17" s="39" t="str">
        <f>'Gr. F'!D11</f>
        <v>Enbino</v>
      </c>
      <c r="C17" s="40">
        <f>IF('Gr. F'!E11="","",'Gr. F'!E11)</f>
        <v>2</v>
      </c>
      <c r="D17" s="40" t="s">
        <v>64</v>
      </c>
      <c r="E17" s="40">
        <f>IF('Gr. F'!G11="","",'Gr. F'!G11)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Cinek</v>
      </c>
      <c r="I17" s="33">
        <f t="shared" si="16"/>
        <v>10</v>
      </c>
      <c r="J17" s="21">
        <f t="shared" si="17"/>
        <v>6</v>
      </c>
      <c r="K17" s="21">
        <f t="shared" si="18"/>
        <v>1</v>
      </c>
      <c r="L17" s="21">
        <f t="shared" si="19"/>
        <v>3</v>
      </c>
      <c r="M17" s="32">
        <f t="shared" si="20"/>
        <v>16</v>
      </c>
      <c r="N17" s="33">
        <f t="shared" si="21"/>
        <v>13</v>
      </c>
      <c r="O17" s="21">
        <f t="shared" si="22"/>
        <v>3</v>
      </c>
      <c r="P17" s="32">
        <f t="shared" si="23"/>
        <v>19</v>
      </c>
      <c r="Q17" s="21" t="e">
        <f>VLOOKUP(H17,'Master+'!$E$8:$H$15,3,0)</f>
        <v>#N/A</v>
      </c>
    </row>
    <row r="18" spans="1:17" x14ac:dyDescent="0.3">
      <c r="A18" s="39" t="str">
        <f>'Gr. F'!B12</f>
        <v>Cinek</v>
      </c>
      <c r="B18" s="39" t="str">
        <f>'Gr. F'!D12</f>
        <v>Dennis</v>
      </c>
      <c r="C18" s="40">
        <f>IF('Gr. F'!E12="","",'Gr. F'!E12)</f>
        <v>1</v>
      </c>
      <c r="D18" s="40" t="s">
        <v>64</v>
      </c>
      <c r="E18" s="40">
        <f>IF('Gr. F'!G12="","",'Gr. F'!G12)</f>
        <v>0</v>
      </c>
      <c r="F18" s="34"/>
      <c r="H18" s="42" t="str">
        <f t="array" ref="H18">INDEX($S$3:$S$8,MATCH(LARGE($AB$3:$AB$8-ROW($AB$3:$AB$8)/COUNT($AB$3:$AB$8),ROW(H18)-ROW(H$15)+1),$AB$3:$AB$8-ROW($AB$3:$AB$8)/COUNT($AB$3:$AB$8),0))</f>
        <v>Team Oelkohold</v>
      </c>
      <c r="I18" s="33">
        <f t="shared" si="16"/>
        <v>10</v>
      </c>
      <c r="J18" s="21">
        <f t="shared" si="17"/>
        <v>4</v>
      </c>
      <c r="K18" s="21">
        <f t="shared" si="18"/>
        <v>1</v>
      </c>
      <c r="L18" s="21">
        <f t="shared" si="19"/>
        <v>5</v>
      </c>
      <c r="M18" s="32">
        <f t="shared" si="20"/>
        <v>17</v>
      </c>
      <c r="N18" s="33">
        <f t="shared" si="21"/>
        <v>17</v>
      </c>
      <c r="O18" s="21">
        <f t="shared" si="22"/>
        <v>0</v>
      </c>
      <c r="P18" s="32">
        <f t="shared" si="23"/>
        <v>13</v>
      </c>
      <c r="Q18" s="21" t="e">
        <f>VLOOKUP(H18,'Master+'!$E$8:$H$15,3,0)</f>
        <v>#N/A</v>
      </c>
    </row>
    <row r="19" spans="1:17" x14ac:dyDescent="0.3">
      <c r="A19" s="39" t="str">
        <f>'Gr. F'!B13</f>
        <v>Cinek</v>
      </c>
      <c r="B19" s="39" t="str">
        <f>'Gr. F'!D13</f>
        <v>Andib</v>
      </c>
      <c r="C19" s="40">
        <f>IF('Gr. F'!E13="","",'Gr. F'!E13)</f>
        <v>0</v>
      </c>
      <c r="D19" s="40" t="s">
        <v>64</v>
      </c>
      <c r="E19" s="40">
        <f>IF('Gr. F'!G13="","",'Gr. F'!G13)</f>
        <v>2</v>
      </c>
      <c r="H19" s="42" t="str">
        <f t="array" ref="H19">INDEX($S$3:$S$8,MATCH(LARGE($AB$3:$AB$8-ROW($AB$3:$AB$8)/COUNT($AB$3:$AB$8),ROW(H19)-ROW(H$15)+1),$AB$3:$AB$8-ROW($AB$3:$AB$8)/COUNT($AB$3:$AB$8),0))</f>
        <v>Dennis</v>
      </c>
      <c r="I19" s="33">
        <f t="shared" si="16"/>
        <v>10</v>
      </c>
      <c r="J19" s="21">
        <f t="shared" si="17"/>
        <v>4</v>
      </c>
      <c r="K19" s="21">
        <f t="shared" si="18"/>
        <v>0</v>
      </c>
      <c r="L19" s="21">
        <f t="shared" si="19"/>
        <v>6</v>
      </c>
      <c r="M19" s="32">
        <f t="shared" si="20"/>
        <v>12</v>
      </c>
      <c r="N19" s="33">
        <f t="shared" si="21"/>
        <v>18</v>
      </c>
      <c r="O19" s="21">
        <f t="shared" si="22"/>
        <v>-6</v>
      </c>
      <c r="P19" s="32">
        <f t="shared" si="23"/>
        <v>12</v>
      </c>
      <c r="Q19" s="21" t="e">
        <f>VLOOKUP(H19,'Master+'!$E$8:$H$15,3,0)</f>
        <v>#N/A</v>
      </c>
    </row>
    <row r="20" spans="1:17" x14ac:dyDescent="0.3">
      <c r="A20" s="39" t="str">
        <f>'Gr. F'!B14</f>
        <v>Cinek</v>
      </c>
      <c r="B20" s="39" t="str">
        <f>'Gr. F'!D14</f>
        <v>Team Oelkohold</v>
      </c>
      <c r="C20" s="40">
        <f>IF('Gr. F'!E14="","",'Gr. F'!E14)</f>
        <v>0</v>
      </c>
      <c r="D20" s="40" t="s">
        <v>64</v>
      </c>
      <c r="E20" s="40">
        <f>IF('Gr. F'!G14="","",'Gr. F'!G14)</f>
        <v>3</v>
      </c>
      <c r="H20" s="42" t="str">
        <f t="array" ref="H20">INDEX($S$3:$S$8,MATCH(LARGE($AB$3:$AB$8-ROW($AB$3:$AB$8)/COUNT($AB$3:$AB$8),ROW(H20)-ROW(H$15)+1),$AB$3:$AB$8-ROW($AB$3:$AB$8)/COUNT($AB$3:$AB$8),0))</f>
        <v>Enbino</v>
      </c>
      <c r="I20" s="33">
        <f t="shared" si="16"/>
        <v>10</v>
      </c>
      <c r="J20" s="21">
        <f t="shared" si="17"/>
        <v>0</v>
      </c>
      <c r="K20" s="21">
        <f t="shared" si="18"/>
        <v>0</v>
      </c>
      <c r="L20" s="21">
        <f t="shared" si="19"/>
        <v>10</v>
      </c>
      <c r="M20" s="32">
        <f t="shared" si="20"/>
        <v>5</v>
      </c>
      <c r="N20" s="33">
        <f t="shared" si="21"/>
        <v>36</v>
      </c>
      <c r="O20" s="21">
        <f t="shared" si="22"/>
        <v>-31</v>
      </c>
      <c r="P20" s="32">
        <f t="shared" si="23"/>
        <v>0</v>
      </c>
      <c r="Q20" s="21" t="e">
        <f>VLOOKUP(H20,'Master+'!$E$8:$H$15,3,0)</f>
        <v>#N/A</v>
      </c>
    </row>
    <row r="21" spans="1:17" x14ac:dyDescent="0.3">
      <c r="A21" s="39" t="str">
        <f>'Gr. F'!B15</f>
        <v>Cinek</v>
      </c>
      <c r="B21" s="39" t="str">
        <f>'Gr. F'!D15</f>
        <v>Enbino</v>
      </c>
      <c r="C21" s="40">
        <f>IF('Gr. F'!E15="","",'Gr. F'!E15)</f>
        <v>3</v>
      </c>
      <c r="D21" s="40" t="s">
        <v>64</v>
      </c>
      <c r="E21" s="40">
        <f>IF('Gr. F'!G15="","",'Gr. F'!G15)</f>
        <v>2</v>
      </c>
      <c r="Q21" s="21"/>
    </row>
    <row r="22" spans="1:17" x14ac:dyDescent="0.3">
      <c r="A22" s="39" t="str">
        <f>'Gr. F'!B16</f>
        <v>Dennis</v>
      </c>
      <c r="B22" s="39" t="str">
        <f>'Gr. F'!D16</f>
        <v>Andib</v>
      </c>
      <c r="C22" s="40">
        <f>IF('Gr. F'!E16="","",'Gr. F'!E16)</f>
        <v>1</v>
      </c>
      <c r="D22" s="40" t="s">
        <v>64</v>
      </c>
      <c r="E22" s="40">
        <f>IF('Gr. F'!G16="","",'Gr. F'!G16)</f>
        <v>0</v>
      </c>
      <c r="Q22" s="21"/>
    </row>
    <row r="23" spans="1:17" x14ac:dyDescent="0.3">
      <c r="A23" s="39" t="str">
        <f>'Gr. F'!B17</f>
        <v>Dennis</v>
      </c>
      <c r="B23" s="39" t="str">
        <f>'Gr. F'!D17</f>
        <v>Team Oelkohold</v>
      </c>
      <c r="C23" s="40">
        <f>IF('Gr. F'!E17="","",'Gr. F'!E17)</f>
        <v>2</v>
      </c>
      <c r="D23" s="40" t="s">
        <v>64</v>
      </c>
      <c r="E23" s="40">
        <f>IF('Gr. F'!G17="","",'Gr. F'!G17)</f>
        <v>1</v>
      </c>
    </row>
    <row r="24" spans="1:17" x14ac:dyDescent="0.3">
      <c r="A24" s="39" t="str">
        <f>'Gr. F'!B18</f>
        <v>Dennis</v>
      </c>
      <c r="B24" s="39" t="str">
        <f>'Gr. F'!D18</f>
        <v>Enbino</v>
      </c>
      <c r="C24" s="40">
        <f>IF('Gr. F'!E18="","",'Gr. F'!E18)</f>
        <v>1</v>
      </c>
      <c r="D24" s="40" t="s">
        <v>64</v>
      </c>
      <c r="E24" s="40">
        <f>IF('Gr. F'!G18="","",'Gr. F'!G18)</f>
        <v>0</v>
      </c>
    </row>
    <row r="25" spans="1:17" x14ac:dyDescent="0.3">
      <c r="A25" s="39" t="str">
        <f>'Gr. F'!B19</f>
        <v>Andib</v>
      </c>
      <c r="B25" s="39" t="str">
        <f>'Gr. F'!D19</f>
        <v>Team Oelkohold</v>
      </c>
      <c r="C25" s="40">
        <f>IF('Gr. F'!E19="","",'Gr. F'!E19)</f>
        <v>2</v>
      </c>
      <c r="D25" s="40" t="s">
        <v>64</v>
      </c>
      <c r="E25" s="40">
        <f>IF('Gr. F'!G19="","",'Gr. F'!G19)</f>
        <v>1</v>
      </c>
    </row>
    <row r="26" spans="1:17" x14ac:dyDescent="0.3">
      <c r="A26" s="39" t="str">
        <f>'Gr. F'!B20</f>
        <v>Andib</v>
      </c>
      <c r="B26" s="39" t="str">
        <f>'Gr. F'!D20</f>
        <v>Enbino</v>
      </c>
      <c r="C26" s="40">
        <f>IF('Gr. F'!E20="","",'Gr. F'!E20)</f>
        <v>6</v>
      </c>
      <c r="D26" s="40" t="s">
        <v>64</v>
      </c>
      <c r="E26" s="40">
        <f>IF('Gr. F'!G20="","",'Gr. F'!G20)</f>
        <v>0</v>
      </c>
    </row>
    <row r="27" spans="1:17" x14ac:dyDescent="0.3">
      <c r="A27" s="39" t="str">
        <f>'Gr. F'!B21</f>
        <v>Team Oelkohold</v>
      </c>
      <c r="B27" s="39" t="str">
        <f>'Gr. F'!D21</f>
        <v>Enbino</v>
      </c>
      <c r="C27" s="40">
        <f>IF('Gr. F'!E21="","",'Gr. F'!E21)</f>
        <v>3</v>
      </c>
      <c r="D27" s="40" t="s">
        <v>64</v>
      </c>
      <c r="E27" s="40">
        <f>IF('Gr. F'!G21="","",'Gr. F'!G21)</f>
        <v>2</v>
      </c>
    </row>
    <row r="28" spans="1:17" x14ac:dyDescent="0.3">
      <c r="A28" s="39" t="str">
        <f>'Gr. F'!J7</f>
        <v>Cinek</v>
      </c>
      <c r="B28" s="39" t="str">
        <f>'Gr. F'!L7</f>
        <v>AbelXavier</v>
      </c>
      <c r="C28" s="40">
        <f>IF('Gr. F'!M7="","",'Gr. F'!M7)</f>
        <v>2</v>
      </c>
      <c r="D28" s="40" t="s">
        <v>64</v>
      </c>
      <c r="E28" s="40">
        <f>IF('Gr. F'!O7="","",'Gr. F'!O7)</f>
        <v>0</v>
      </c>
    </row>
    <row r="29" spans="1:17" x14ac:dyDescent="0.3">
      <c r="A29" s="39" t="str">
        <f>'Gr. F'!J8</f>
        <v>Dennis</v>
      </c>
      <c r="B29" s="39" t="str">
        <f>'Gr. F'!L8</f>
        <v>AbelXavier</v>
      </c>
      <c r="C29" s="40">
        <f>IF('Gr. F'!M8="","",'Gr. F'!M8)</f>
        <v>0</v>
      </c>
      <c r="D29" s="40" t="s">
        <v>64</v>
      </c>
      <c r="E29" s="40">
        <f>IF('Gr. F'!O8="","",'Gr. F'!O8)</f>
        <v>4</v>
      </c>
    </row>
    <row r="30" spans="1:17" x14ac:dyDescent="0.3">
      <c r="A30" s="39" t="str">
        <f>'Gr. F'!J9</f>
        <v>Andib</v>
      </c>
      <c r="B30" s="39" t="str">
        <f>'Gr. F'!L9</f>
        <v>AbelXavier</v>
      </c>
      <c r="C30" s="40">
        <f>IF('Gr. F'!M9="","",'Gr. F'!M9)</f>
        <v>1</v>
      </c>
      <c r="D30" s="40" t="s">
        <v>64</v>
      </c>
      <c r="E30" s="40">
        <f>IF('Gr. F'!O9="","",'Gr. F'!O9)</f>
        <v>0</v>
      </c>
    </row>
    <row r="31" spans="1:17" x14ac:dyDescent="0.3">
      <c r="A31" s="39" t="str">
        <f>'Gr. F'!J10</f>
        <v>Team Oelkohold</v>
      </c>
      <c r="B31" s="39" t="str">
        <f>'Gr. F'!L10</f>
        <v>AbelXavier</v>
      </c>
      <c r="C31" s="40">
        <f>IF('Gr. F'!M10="","",'Gr. F'!M10)</f>
        <v>1</v>
      </c>
      <c r="D31" s="40" t="s">
        <v>64</v>
      </c>
      <c r="E31" s="40">
        <f>IF('Gr. F'!O10="","",'Gr. F'!O10)</f>
        <v>3</v>
      </c>
    </row>
    <row r="32" spans="1:17" x14ac:dyDescent="0.3">
      <c r="A32" s="39" t="str">
        <f>'Gr. F'!J11</f>
        <v>Enbino</v>
      </c>
      <c r="B32" s="39" t="str">
        <f>'Gr. F'!L11</f>
        <v>AbelXavier</v>
      </c>
      <c r="C32" s="40">
        <f>IF('Gr. F'!M11="","",'Gr. F'!M11)</f>
        <v>0</v>
      </c>
      <c r="D32" s="40" t="s">
        <v>64</v>
      </c>
      <c r="E32" s="40">
        <f>IF('Gr. F'!O11="","",'Gr. F'!O11)</f>
        <v>5</v>
      </c>
    </row>
    <row r="33" spans="1:5" x14ac:dyDescent="0.3">
      <c r="A33" s="39" t="str">
        <f>'Gr. F'!J12</f>
        <v>Dennis</v>
      </c>
      <c r="B33" s="39" t="str">
        <f>'Gr. F'!L12</f>
        <v>Cinek</v>
      </c>
      <c r="C33" s="40">
        <f>IF('Gr. F'!M12="","",'Gr. F'!M12)</f>
        <v>0</v>
      </c>
      <c r="D33" s="40" t="s">
        <v>64</v>
      </c>
      <c r="E33" s="40">
        <f>IF('Gr. F'!O12="","",'Gr. F'!O12)</f>
        <v>3</v>
      </c>
    </row>
    <row r="34" spans="1:5" x14ac:dyDescent="0.3">
      <c r="A34" s="39" t="str">
        <f>'Gr. F'!J13</f>
        <v>Andib</v>
      </c>
      <c r="B34" s="39" t="str">
        <f>'Gr. F'!L13</f>
        <v>Cinek</v>
      </c>
      <c r="C34" s="40">
        <f>IF('Gr. F'!M13="","",'Gr. F'!M13)</f>
        <v>1</v>
      </c>
      <c r="D34" s="40" t="s">
        <v>64</v>
      </c>
      <c r="E34" s="40">
        <f>IF('Gr. F'!O13="","",'Gr. F'!O13)</f>
        <v>1</v>
      </c>
    </row>
    <row r="35" spans="1:5" x14ac:dyDescent="0.3">
      <c r="A35" s="39" t="str">
        <f>'Gr. F'!J14</f>
        <v>Team Oelkohold</v>
      </c>
      <c r="B35" s="39" t="str">
        <f>'Gr. F'!L14</f>
        <v>Cinek</v>
      </c>
      <c r="C35" s="40">
        <f>IF('Gr. F'!M14="","",'Gr. F'!M14)</f>
        <v>1</v>
      </c>
      <c r="D35" s="40" t="s">
        <v>64</v>
      </c>
      <c r="E35" s="40">
        <f>IF('Gr. F'!O14="","",'Gr. F'!O14)</f>
        <v>3</v>
      </c>
    </row>
    <row r="36" spans="1:5" x14ac:dyDescent="0.3">
      <c r="A36" s="39" t="str">
        <f>'Gr. F'!J15</f>
        <v>Enbino</v>
      </c>
      <c r="B36" s="39" t="str">
        <f>'Gr. F'!L15</f>
        <v>Cinek</v>
      </c>
      <c r="C36" s="40">
        <f>IF('Gr. F'!M15="","",'Gr. F'!M15)</f>
        <v>0</v>
      </c>
      <c r="D36" s="40" t="s">
        <v>64</v>
      </c>
      <c r="E36" s="40">
        <f>IF('Gr. F'!O15="","",'Gr. F'!O15)</f>
        <v>3</v>
      </c>
    </row>
    <row r="37" spans="1:5" x14ac:dyDescent="0.3">
      <c r="A37" s="39" t="str">
        <f>'Gr. F'!J16</f>
        <v>Andib</v>
      </c>
      <c r="B37" s="39" t="str">
        <f>'Gr. F'!L16</f>
        <v>Dennis</v>
      </c>
      <c r="C37" s="40">
        <f>IF('Gr. F'!M16="","",'Gr. F'!M16)</f>
        <v>4</v>
      </c>
      <c r="D37" s="40" t="s">
        <v>64</v>
      </c>
      <c r="E37" s="40">
        <f>IF('Gr. F'!O16="","",'Gr. F'!O16)</f>
        <v>2</v>
      </c>
    </row>
    <row r="38" spans="1:5" x14ac:dyDescent="0.3">
      <c r="A38" s="39" t="str">
        <f>'Gr. F'!J17</f>
        <v>Team Oelkohold</v>
      </c>
      <c r="B38" s="39" t="str">
        <f>'Gr. F'!L17</f>
        <v>Dennis</v>
      </c>
      <c r="C38" s="40">
        <f>IF('Gr. F'!M17="","",'Gr. F'!M17)</f>
        <v>3</v>
      </c>
      <c r="D38" s="40" t="s">
        <v>64</v>
      </c>
      <c r="E38" s="40">
        <f>IF('Gr. F'!O17="","",'Gr. F'!O17)</f>
        <v>0</v>
      </c>
    </row>
    <row r="39" spans="1:5" x14ac:dyDescent="0.3">
      <c r="A39" s="39" t="str">
        <f>'Gr. F'!J18</f>
        <v>Enbino</v>
      </c>
      <c r="B39" s="39" t="str">
        <f>'Gr. F'!L18</f>
        <v>Dennis</v>
      </c>
      <c r="C39" s="40">
        <f>IF('Gr. F'!M18="","",'Gr. F'!M18)</f>
        <v>0</v>
      </c>
      <c r="D39" s="40" t="s">
        <v>64</v>
      </c>
      <c r="E39" s="40">
        <f>IF('Gr. F'!O18="","",'Gr. F'!O18)</f>
        <v>6</v>
      </c>
    </row>
    <row r="40" spans="1:5" x14ac:dyDescent="0.3">
      <c r="A40" s="39" t="str">
        <f>'Gr. F'!J19</f>
        <v>Team Oelkohold</v>
      </c>
      <c r="B40" s="39" t="str">
        <f>'Gr. F'!L19</f>
        <v>Andib</v>
      </c>
      <c r="C40" s="40">
        <f>IF('Gr. F'!M19="","",'Gr. F'!M19)</f>
        <v>0</v>
      </c>
      <c r="D40" s="40" t="s">
        <v>64</v>
      </c>
      <c r="E40" s="40">
        <f>IF('Gr. F'!O19="","",'Gr. F'!O19)</f>
        <v>2</v>
      </c>
    </row>
    <row r="41" spans="1:5" x14ac:dyDescent="0.3">
      <c r="A41" s="39" t="str">
        <f>'Gr. F'!J20</f>
        <v>Enbino</v>
      </c>
      <c r="B41" s="39" t="str">
        <f>'Gr. F'!L20</f>
        <v>Andib</v>
      </c>
      <c r="C41" s="40">
        <f>IF('Gr. F'!M20="","",'Gr. F'!M20)</f>
        <v>0</v>
      </c>
      <c r="D41" s="40" t="s">
        <v>64</v>
      </c>
      <c r="E41" s="40">
        <f>IF('Gr. F'!O20="","",'Gr. F'!O20)</f>
        <v>5</v>
      </c>
    </row>
    <row r="42" spans="1:5" x14ac:dyDescent="0.3">
      <c r="A42" s="39" t="str">
        <f>'Gr. F'!J21</f>
        <v>Enbino</v>
      </c>
      <c r="B42" s="39" t="str">
        <f>'Gr. F'!L21</f>
        <v>Team Oelkohold</v>
      </c>
      <c r="C42" s="40">
        <f>IF('Gr. F'!M21="","",'Gr. F'!M21)</f>
        <v>1</v>
      </c>
      <c r="D42" s="40" t="s">
        <v>64</v>
      </c>
      <c r="E42" s="40">
        <f>IF('Gr. F'!O21="","",'Gr. F'!O21)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F45"/>
  <sheetViews>
    <sheetView workbookViewId="0"/>
  </sheetViews>
  <sheetFormatPr defaultRowHeight="14.4" x14ac:dyDescent="0.3"/>
  <sheetData>
    <row r="2" spans="2:6" ht="15" thickBot="1" x14ac:dyDescent="0.35"/>
    <row r="3" spans="2:6" ht="15" thickBot="1" x14ac:dyDescent="0.35">
      <c r="B3" s="12" t="s">
        <v>49</v>
      </c>
      <c r="C3" s="296" t="s">
        <v>35</v>
      </c>
      <c r="D3" s="296"/>
      <c r="E3" s="296" t="s">
        <v>36</v>
      </c>
      <c r="F3" s="297"/>
    </row>
    <row r="4" spans="2:6" x14ac:dyDescent="0.3">
      <c r="B4" s="13">
        <v>1</v>
      </c>
      <c r="C4" s="298" t="str">
        <f>'Gr. A+'!E8</f>
        <v>DjowGer</v>
      </c>
      <c r="D4" s="299"/>
      <c r="E4" s="299">
        <f>'Gr. A+'!G8</f>
        <v>0</v>
      </c>
      <c r="F4" s="300"/>
    </row>
    <row r="5" spans="2:6" x14ac:dyDescent="0.3">
      <c r="B5" s="14">
        <v>2</v>
      </c>
      <c r="C5" s="298" t="str">
        <f>'Gr. A+'!E9</f>
        <v>Sanek</v>
      </c>
      <c r="D5" s="299"/>
      <c r="E5" s="299">
        <f>'Gr. A+'!G9</f>
        <v>0</v>
      </c>
      <c r="F5" s="300"/>
    </row>
    <row r="6" spans="2:6" x14ac:dyDescent="0.3">
      <c r="B6" s="14">
        <v>3</v>
      </c>
      <c r="C6" s="298" t="str">
        <f>'Gr. A+'!E10</f>
        <v>Schulle</v>
      </c>
      <c r="D6" s="299"/>
      <c r="E6" s="299">
        <f>'Gr. A+'!G10</f>
        <v>0</v>
      </c>
      <c r="F6" s="300"/>
    </row>
    <row r="7" spans="2:6" x14ac:dyDescent="0.3">
      <c r="B7" s="14">
        <v>4</v>
      </c>
      <c r="C7" s="298" t="str">
        <f>'Gr. A+'!E11</f>
        <v>Bromberg</v>
      </c>
      <c r="D7" s="299"/>
      <c r="E7" s="299">
        <f>'Gr. A+'!G11</f>
        <v>0</v>
      </c>
      <c r="F7" s="300"/>
    </row>
    <row r="8" spans="2:6" x14ac:dyDescent="0.3">
      <c r="B8" s="14">
        <v>5</v>
      </c>
      <c r="C8" s="298" t="str">
        <f>'Gr. A+'!E12</f>
        <v>FC Sandkagen</v>
      </c>
      <c r="D8" s="299"/>
      <c r="E8" s="299">
        <f>'Gr. A+'!G12</f>
        <v>0</v>
      </c>
      <c r="F8" s="300"/>
    </row>
    <row r="9" spans="2:6" x14ac:dyDescent="0.3">
      <c r="B9" s="14">
        <v>6</v>
      </c>
      <c r="C9" s="298" t="str">
        <f>'Gr. A+'!E13</f>
        <v>Tobby</v>
      </c>
      <c r="D9" s="299"/>
      <c r="E9" s="299">
        <f>'Gr. A+'!G13</f>
        <v>0</v>
      </c>
      <c r="F9" s="300"/>
    </row>
    <row r="10" spans="2:6" ht="15" thickBot="1" x14ac:dyDescent="0.35">
      <c r="B10" s="14">
        <v>7</v>
      </c>
      <c r="C10" s="298" t="str">
        <f>'Gr. A+'!E14</f>
        <v>Cheval</v>
      </c>
      <c r="D10" s="299"/>
      <c r="E10" s="299">
        <f>'Gr. A+'!G14</f>
        <v>0</v>
      </c>
      <c r="F10" s="300"/>
    </row>
    <row r="11" spans="2:6" x14ac:dyDescent="0.3">
      <c r="B11" s="14">
        <v>8</v>
      </c>
      <c r="C11" s="301" t="e">
        <f>#REF!</f>
        <v>#REF!</v>
      </c>
      <c r="D11" s="302"/>
      <c r="E11" s="302" t="e">
        <f>#REF!</f>
        <v>#REF!</v>
      </c>
      <c r="F11" s="303"/>
    </row>
    <row r="12" spans="2:6" x14ac:dyDescent="0.3">
      <c r="B12" s="14">
        <v>9</v>
      </c>
      <c r="C12" s="304" t="e">
        <f>#REF!</f>
        <v>#REF!</v>
      </c>
      <c r="D12" s="305"/>
      <c r="E12" s="305" t="e">
        <f>#REF!</f>
        <v>#REF!</v>
      </c>
      <c r="F12" s="306"/>
    </row>
    <row r="13" spans="2:6" x14ac:dyDescent="0.3">
      <c r="B13" s="14">
        <v>10</v>
      </c>
      <c r="C13" s="304" t="e">
        <f>#REF!</f>
        <v>#REF!</v>
      </c>
      <c r="D13" s="305"/>
      <c r="E13" s="305" t="e">
        <f>#REF!</f>
        <v>#REF!</v>
      </c>
      <c r="F13" s="306"/>
    </row>
    <row r="14" spans="2:6" x14ac:dyDescent="0.3">
      <c r="B14" s="14">
        <v>11</v>
      </c>
      <c r="C14" s="304" t="e">
        <f>#REF!</f>
        <v>#REF!</v>
      </c>
      <c r="D14" s="305"/>
      <c r="E14" s="305" t="e">
        <f>#REF!</f>
        <v>#REF!</v>
      </c>
      <c r="F14" s="306"/>
    </row>
    <row r="15" spans="2:6" x14ac:dyDescent="0.3">
      <c r="B15" s="14">
        <v>12</v>
      </c>
      <c r="C15" s="304" t="e">
        <f>#REF!</f>
        <v>#REF!</v>
      </c>
      <c r="D15" s="305"/>
      <c r="E15" s="305" t="e">
        <f>#REF!</f>
        <v>#REF!</v>
      </c>
      <c r="F15" s="306"/>
    </row>
    <row r="16" spans="2:6" x14ac:dyDescent="0.3">
      <c r="B16" s="14">
        <v>13</v>
      </c>
      <c r="C16" s="304" t="e">
        <f>#REF!</f>
        <v>#REF!</v>
      </c>
      <c r="D16" s="305"/>
      <c r="E16" s="305" t="e">
        <f>#REF!</f>
        <v>#REF!</v>
      </c>
      <c r="F16" s="306"/>
    </row>
    <row r="17" spans="2:6" ht="15" thickBot="1" x14ac:dyDescent="0.35">
      <c r="B17" s="14">
        <v>14</v>
      </c>
      <c r="C17" s="307" t="e">
        <f>#REF!</f>
        <v>#REF!</v>
      </c>
      <c r="D17" s="308"/>
      <c r="E17" s="308" t="e">
        <f>#REF!</f>
        <v>#REF!</v>
      </c>
      <c r="F17" s="309"/>
    </row>
    <row r="18" spans="2:6" x14ac:dyDescent="0.3">
      <c r="B18" s="14">
        <v>15</v>
      </c>
      <c r="C18" s="310" t="e">
        <f>#REF!</f>
        <v>#REF!</v>
      </c>
      <c r="D18" s="299"/>
      <c r="E18" s="299" t="e">
        <f>#REF!</f>
        <v>#REF!</v>
      </c>
      <c r="F18" s="300"/>
    </row>
    <row r="19" spans="2:6" x14ac:dyDescent="0.3">
      <c r="B19" s="14">
        <v>16</v>
      </c>
      <c r="C19" s="304" t="e">
        <f>#REF!</f>
        <v>#REF!</v>
      </c>
      <c r="D19" s="305"/>
      <c r="E19" s="305" t="e">
        <f>#REF!</f>
        <v>#REF!</v>
      </c>
      <c r="F19" s="306"/>
    </row>
    <row r="20" spans="2:6" x14ac:dyDescent="0.3">
      <c r="B20" s="14">
        <v>17</v>
      </c>
      <c r="C20" s="304" t="e">
        <f>#REF!</f>
        <v>#REF!</v>
      </c>
      <c r="D20" s="305"/>
      <c r="E20" s="305" t="e">
        <f>#REF!</f>
        <v>#REF!</v>
      </c>
      <c r="F20" s="306"/>
    </row>
    <row r="21" spans="2:6" x14ac:dyDescent="0.3">
      <c r="B21" s="14">
        <v>18</v>
      </c>
      <c r="C21" s="304" t="e">
        <f>#REF!</f>
        <v>#REF!</v>
      </c>
      <c r="D21" s="305"/>
      <c r="E21" s="305" t="e">
        <f>#REF!</f>
        <v>#REF!</v>
      </c>
      <c r="F21" s="306"/>
    </row>
    <row r="22" spans="2:6" x14ac:dyDescent="0.3">
      <c r="B22" s="14">
        <v>19</v>
      </c>
      <c r="C22" s="304" t="e">
        <f>#REF!</f>
        <v>#REF!</v>
      </c>
      <c r="D22" s="305"/>
      <c r="E22" s="305" t="e">
        <f>#REF!</f>
        <v>#REF!</v>
      </c>
      <c r="F22" s="306"/>
    </row>
    <row r="23" spans="2:6" x14ac:dyDescent="0.3">
      <c r="B23" s="14">
        <v>20</v>
      </c>
      <c r="C23" s="304" t="e">
        <f>#REF!</f>
        <v>#REF!</v>
      </c>
      <c r="D23" s="305"/>
      <c r="E23" s="305" t="e">
        <f>#REF!</f>
        <v>#REF!</v>
      </c>
      <c r="F23" s="306"/>
    </row>
    <row r="24" spans="2:6" ht="15" thickBot="1" x14ac:dyDescent="0.35">
      <c r="B24" s="14">
        <v>21</v>
      </c>
      <c r="C24" s="311" t="e">
        <f>#REF!</f>
        <v>#REF!</v>
      </c>
      <c r="D24" s="312"/>
      <c r="E24" s="312" t="e">
        <f>#REF!</f>
        <v>#REF!</v>
      </c>
      <c r="F24" s="313"/>
    </row>
    <row r="25" spans="2:6" x14ac:dyDescent="0.3">
      <c r="B25" s="14">
        <v>22</v>
      </c>
      <c r="C25" s="314" t="e">
        <f>#REF!</f>
        <v>#REF!</v>
      </c>
      <c r="D25" s="302"/>
      <c r="E25" s="302" t="e">
        <f>#REF!</f>
        <v>#REF!</v>
      </c>
      <c r="F25" s="303"/>
    </row>
    <row r="26" spans="2:6" x14ac:dyDescent="0.3">
      <c r="B26" s="14">
        <v>23</v>
      </c>
      <c r="C26" s="298" t="e">
        <f>#REF!</f>
        <v>#REF!</v>
      </c>
      <c r="D26" s="299"/>
      <c r="E26" s="299" t="e">
        <f>#REF!</f>
        <v>#REF!</v>
      </c>
      <c r="F26" s="300"/>
    </row>
    <row r="27" spans="2:6" x14ac:dyDescent="0.3">
      <c r="B27" s="14">
        <v>24</v>
      </c>
      <c r="C27" s="298" t="e">
        <f>#REF!</f>
        <v>#REF!</v>
      </c>
      <c r="D27" s="299"/>
      <c r="E27" s="299" t="e">
        <f>#REF!</f>
        <v>#REF!</v>
      </c>
      <c r="F27" s="300"/>
    </row>
    <row r="28" spans="2:6" x14ac:dyDescent="0.3">
      <c r="B28" s="14">
        <v>25</v>
      </c>
      <c r="C28" s="298" t="e">
        <f>#REF!</f>
        <v>#REF!</v>
      </c>
      <c r="D28" s="299"/>
      <c r="E28" s="299" t="e">
        <f>#REF!</f>
        <v>#REF!</v>
      </c>
      <c r="F28" s="300"/>
    </row>
    <row r="29" spans="2:6" x14ac:dyDescent="0.3">
      <c r="B29" s="14">
        <v>26</v>
      </c>
      <c r="C29" s="304" t="e">
        <f>#REF!</f>
        <v>#REF!</v>
      </c>
      <c r="D29" s="305"/>
      <c r="E29" s="305" t="e">
        <f>#REF!</f>
        <v>#REF!</v>
      </c>
      <c r="F29" s="306"/>
    </row>
    <row r="30" spans="2:6" x14ac:dyDescent="0.3">
      <c r="B30" s="14">
        <v>27</v>
      </c>
      <c r="C30" s="304" t="e">
        <f>#REF!</f>
        <v>#REF!</v>
      </c>
      <c r="D30" s="305"/>
      <c r="E30" s="305" t="e">
        <f>#REF!</f>
        <v>#REF!</v>
      </c>
      <c r="F30" s="306"/>
    </row>
    <row r="31" spans="2:6" ht="15" thickBot="1" x14ac:dyDescent="0.35">
      <c r="B31" s="14">
        <v>28</v>
      </c>
      <c r="C31" s="257" t="e">
        <f>#REF!</f>
        <v>#REF!</v>
      </c>
      <c r="D31" s="315"/>
      <c r="E31" s="316" t="e">
        <f>#REF!</f>
        <v>#REF!</v>
      </c>
      <c r="F31" s="259"/>
    </row>
    <row r="32" spans="2:6" x14ac:dyDescent="0.3">
      <c r="B32" s="14">
        <v>29</v>
      </c>
      <c r="C32" s="310" t="e">
        <f>#REF!</f>
        <v>#REF!</v>
      </c>
      <c r="D32" s="299"/>
      <c r="E32" s="299" t="e">
        <f>#REF!</f>
        <v>#REF!</v>
      </c>
      <c r="F32" s="300"/>
    </row>
    <row r="33" spans="2:6" x14ac:dyDescent="0.3">
      <c r="B33" s="14">
        <v>30</v>
      </c>
      <c r="C33" s="304" t="e">
        <f>#REF!</f>
        <v>#REF!</v>
      </c>
      <c r="D33" s="305"/>
      <c r="E33" s="305" t="e">
        <f>#REF!</f>
        <v>#REF!</v>
      </c>
      <c r="F33" s="306"/>
    </row>
    <row r="34" spans="2:6" x14ac:dyDescent="0.3">
      <c r="B34" s="14">
        <v>31</v>
      </c>
      <c r="C34" s="304" t="e">
        <f>#REF!</f>
        <v>#REF!</v>
      </c>
      <c r="D34" s="305"/>
      <c r="E34" s="305" t="e">
        <f>#REF!</f>
        <v>#REF!</v>
      </c>
      <c r="F34" s="306"/>
    </row>
    <row r="35" spans="2:6" x14ac:dyDescent="0.3">
      <c r="B35" s="14">
        <v>32</v>
      </c>
      <c r="C35" s="304" t="e">
        <f>#REF!</f>
        <v>#REF!</v>
      </c>
      <c r="D35" s="305"/>
      <c r="E35" s="305" t="e">
        <f>#REF!</f>
        <v>#REF!</v>
      </c>
      <c r="F35" s="306"/>
    </row>
    <row r="36" spans="2:6" x14ac:dyDescent="0.3">
      <c r="B36" s="14">
        <v>33</v>
      </c>
      <c r="C36" s="304" t="e">
        <f>#REF!</f>
        <v>#REF!</v>
      </c>
      <c r="D36" s="305"/>
      <c r="E36" s="305" t="e">
        <f>#REF!</f>
        <v>#REF!</v>
      </c>
      <c r="F36" s="306"/>
    </row>
    <row r="37" spans="2:6" x14ac:dyDescent="0.3">
      <c r="B37" s="14">
        <v>34</v>
      </c>
      <c r="C37" s="304" t="e">
        <f>#REF!</f>
        <v>#REF!</v>
      </c>
      <c r="D37" s="305"/>
      <c r="E37" s="305" t="e">
        <f>#REF!</f>
        <v>#REF!</v>
      </c>
      <c r="F37" s="306"/>
    </row>
    <row r="38" spans="2:6" ht="15" thickBot="1" x14ac:dyDescent="0.35">
      <c r="B38" s="14">
        <v>35</v>
      </c>
      <c r="C38" s="311" t="e">
        <f>#REF!</f>
        <v>#REF!</v>
      </c>
      <c r="D38" s="312"/>
      <c r="E38" s="312" t="e">
        <f>#REF!</f>
        <v>#REF!</v>
      </c>
      <c r="F38" s="313"/>
    </row>
    <row r="39" spans="2:6" x14ac:dyDescent="0.3">
      <c r="B39" s="14">
        <v>36</v>
      </c>
      <c r="C39" s="314" t="e">
        <f>#REF!</f>
        <v>#REF!</v>
      </c>
      <c r="D39" s="302"/>
      <c r="E39" s="302" t="e">
        <f>#REF!</f>
        <v>#REF!</v>
      </c>
      <c r="F39" s="303"/>
    </row>
    <row r="40" spans="2:6" x14ac:dyDescent="0.3">
      <c r="B40" s="14">
        <v>37</v>
      </c>
      <c r="C40" s="298" t="e">
        <f>#REF!</f>
        <v>#REF!</v>
      </c>
      <c r="D40" s="299"/>
      <c r="E40" s="299" t="e">
        <f>#REF!</f>
        <v>#REF!</v>
      </c>
      <c r="F40" s="300"/>
    </row>
    <row r="41" spans="2:6" x14ac:dyDescent="0.3">
      <c r="B41" s="14">
        <v>38</v>
      </c>
      <c r="C41" s="298" t="e">
        <f>#REF!</f>
        <v>#REF!</v>
      </c>
      <c r="D41" s="299"/>
      <c r="E41" s="299" t="e">
        <f>#REF!</f>
        <v>#REF!</v>
      </c>
      <c r="F41" s="300"/>
    </row>
    <row r="42" spans="2:6" x14ac:dyDescent="0.3">
      <c r="B42" s="14">
        <v>39</v>
      </c>
      <c r="C42" s="298" t="e">
        <f>#REF!</f>
        <v>#REF!</v>
      </c>
      <c r="D42" s="299"/>
      <c r="E42" s="299" t="e">
        <f>#REF!</f>
        <v>#REF!</v>
      </c>
      <c r="F42" s="300"/>
    </row>
    <row r="43" spans="2:6" x14ac:dyDescent="0.3">
      <c r="B43" s="14">
        <v>40</v>
      </c>
      <c r="C43" s="298" t="e">
        <f>#REF!</f>
        <v>#REF!</v>
      </c>
      <c r="D43" s="299"/>
      <c r="E43" s="299" t="e">
        <f>#REF!</f>
        <v>#REF!</v>
      </c>
      <c r="F43" s="300"/>
    </row>
    <row r="44" spans="2:6" x14ac:dyDescent="0.3">
      <c r="B44" s="14">
        <v>41</v>
      </c>
      <c r="C44" s="298" t="e">
        <f>#REF!</f>
        <v>#REF!</v>
      </c>
      <c r="D44" s="299"/>
      <c r="E44" s="299" t="e">
        <f>#REF!</f>
        <v>#REF!</v>
      </c>
      <c r="F44" s="300"/>
    </row>
    <row r="45" spans="2:6" ht="15" thickBot="1" x14ac:dyDescent="0.35">
      <c r="B45" s="14">
        <v>42</v>
      </c>
      <c r="C45" s="317" t="e">
        <f>#REF!</f>
        <v>#REF!</v>
      </c>
      <c r="D45" s="318"/>
      <c r="E45" s="318" t="e">
        <f>#REF!</f>
        <v>#REF!</v>
      </c>
      <c r="F45" s="319"/>
    </row>
  </sheetData>
  <mergeCells count="86">
    <mergeCell ref="C44:D44"/>
    <mergeCell ref="E44:F44"/>
    <mergeCell ref="C45:D45"/>
    <mergeCell ref="E45:F45"/>
    <mergeCell ref="C41:D41"/>
    <mergeCell ref="E41:F41"/>
    <mergeCell ref="C42:D42"/>
    <mergeCell ref="E42:F42"/>
    <mergeCell ref="C43:D43"/>
    <mergeCell ref="E43:F43"/>
    <mergeCell ref="C38:D38"/>
    <mergeCell ref="E38:F38"/>
    <mergeCell ref="C39:D39"/>
    <mergeCell ref="E39:F39"/>
    <mergeCell ref="C40:D40"/>
    <mergeCell ref="E40:F40"/>
    <mergeCell ref="C35:D35"/>
    <mergeCell ref="E35:F35"/>
    <mergeCell ref="C36:D36"/>
    <mergeCell ref="E36:F36"/>
    <mergeCell ref="C37:D37"/>
    <mergeCell ref="E37:F37"/>
    <mergeCell ref="C32:D32"/>
    <mergeCell ref="E32:F32"/>
    <mergeCell ref="C33:D33"/>
    <mergeCell ref="E33:F33"/>
    <mergeCell ref="C34:D34"/>
    <mergeCell ref="E34:F34"/>
    <mergeCell ref="C29:D29"/>
    <mergeCell ref="E29:F29"/>
    <mergeCell ref="C30:D30"/>
    <mergeCell ref="E30:F30"/>
    <mergeCell ref="C31:D31"/>
    <mergeCell ref="E31:F31"/>
    <mergeCell ref="C26:D26"/>
    <mergeCell ref="E26:F26"/>
    <mergeCell ref="C27:D27"/>
    <mergeCell ref="E27:F27"/>
    <mergeCell ref="C28:D28"/>
    <mergeCell ref="E28:F28"/>
    <mergeCell ref="C23:D23"/>
    <mergeCell ref="E23:F23"/>
    <mergeCell ref="C24:D24"/>
    <mergeCell ref="E24:F24"/>
    <mergeCell ref="C25:D25"/>
    <mergeCell ref="E25:F25"/>
    <mergeCell ref="C20:D20"/>
    <mergeCell ref="E20:F20"/>
    <mergeCell ref="C21:D21"/>
    <mergeCell ref="E21:F21"/>
    <mergeCell ref="C22:D22"/>
    <mergeCell ref="E22:F22"/>
    <mergeCell ref="C17:D17"/>
    <mergeCell ref="E17:F17"/>
    <mergeCell ref="C18:D18"/>
    <mergeCell ref="E18:F18"/>
    <mergeCell ref="C19:D19"/>
    <mergeCell ref="E19:F19"/>
    <mergeCell ref="C14:D14"/>
    <mergeCell ref="E14:F14"/>
    <mergeCell ref="C15:D15"/>
    <mergeCell ref="E15:F15"/>
    <mergeCell ref="C16:D16"/>
    <mergeCell ref="E16:F16"/>
    <mergeCell ref="C11:D11"/>
    <mergeCell ref="E11:F11"/>
    <mergeCell ref="C12:D12"/>
    <mergeCell ref="E12:F12"/>
    <mergeCell ref="C13:D13"/>
    <mergeCell ref="E13:F13"/>
    <mergeCell ref="C9:D9"/>
    <mergeCell ref="E9:F9"/>
    <mergeCell ref="C10:D10"/>
    <mergeCell ref="E10:F10"/>
    <mergeCell ref="C6:D6"/>
    <mergeCell ref="E6:F6"/>
    <mergeCell ref="C7:D7"/>
    <mergeCell ref="E7:F7"/>
    <mergeCell ref="C8:D8"/>
    <mergeCell ref="E8:F8"/>
    <mergeCell ref="C3:D3"/>
    <mergeCell ref="E3:F3"/>
    <mergeCell ref="C4:D4"/>
    <mergeCell ref="E4:F4"/>
    <mergeCell ref="C5:D5"/>
    <mergeCell ref="E5:F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21"/>
  <sheetViews>
    <sheetView showGridLines="0" workbookViewId="0">
      <selection activeCell="O26" sqref="O26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'Master+'!E8</f>
        <v>DjowGer</v>
      </c>
      <c r="C2" s="275"/>
      <c r="D2" s="276"/>
      <c r="E2" s="283" t="str">
        <f>IFERROR('Master+'!D2,"-")</f>
        <v>Master</v>
      </c>
      <c r="F2" s="284"/>
      <c r="G2" s="284"/>
      <c r="H2" s="284"/>
      <c r="I2" s="285"/>
      <c r="J2" s="274" t="str">
        <f>'Master+'!E11</f>
        <v>bobbiebobras</v>
      </c>
      <c r="K2" s="275"/>
      <c r="L2" s="276"/>
    </row>
    <row r="3" spans="1:15" ht="19.5" customHeight="1" thickBot="1" x14ac:dyDescent="0.35">
      <c r="A3" s="6"/>
      <c r="B3" s="274" t="str">
        <f>'Master+'!E9</f>
        <v>Bomb</v>
      </c>
      <c r="C3" s="275"/>
      <c r="D3" s="276"/>
      <c r="E3" s="283"/>
      <c r="F3" s="284"/>
      <c r="G3" s="284"/>
      <c r="H3" s="284"/>
      <c r="I3" s="285"/>
      <c r="J3" s="274" t="str">
        <f>'Master+'!E12</f>
        <v>Playaveli</v>
      </c>
      <c r="K3" s="275"/>
      <c r="L3" s="276"/>
    </row>
    <row r="4" spans="1:15" ht="19.5" customHeight="1" thickBot="1" x14ac:dyDescent="0.35">
      <c r="A4" s="6"/>
      <c r="B4" s="274" t="str">
        <f>'Master+'!E10</f>
        <v>Lobo</v>
      </c>
      <c r="C4" s="275"/>
      <c r="D4" s="276"/>
      <c r="E4" s="6"/>
      <c r="F4" s="6"/>
      <c r="G4" s="6"/>
      <c r="H4" s="6"/>
      <c r="I4" s="6"/>
      <c r="J4" s="274" t="str">
        <f>'Master+'!E13</f>
        <v>AbelXavier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45" t="s">
        <v>18</v>
      </c>
      <c r="B6" s="45" t="s">
        <v>15</v>
      </c>
      <c r="C6" s="45"/>
      <c r="D6" s="45" t="s">
        <v>16</v>
      </c>
      <c r="E6" s="273" t="s">
        <v>17</v>
      </c>
      <c r="F6" s="273"/>
      <c r="G6" s="273"/>
      <c r="H6" s="3"/>
      <c r="I6" s="45" t="s">
        <v>18</v>
      </c>
      <c r="J6" s="45" t="s">
        <v>15</v>
      </c>
      <c r="K6" s="45"/>
      <c r="L6" s="45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IFERROR(VLOOKUP('Master+'!C16,'Master+'!$D$8:$E$13,2,0),"-")</f>
        <v>AbelXavier</v>
      </c>
      <c r="C7" s="5" t="s">
        <v>19</v>
      </c>
      <c r="D7" s="4" t="str">
        <f>IFERROR(VLOOKUP('Master+'!E16,'Master+'!$D$8:$E$13,2,0),"-")</f>
        <v>Lobo</v>
      </c>
      <c r="E7" s="4">
        <v>2</v>
      </c>
      <c r="F7" s="5" t="s">
        <v>19</v>
      </c>
      <c r="G7" s="4">
        <v>3</v>
      </c>
      <c r="H7" s="6"/>
      <c r="I7" s="4" t="s">
        <v>20</v>
      </c>
      <c r="J7" s="4" t="str">
        <f>IFERROR(VLOOKUP('Master+'!H16,'Master+'!$D$8:$E$13,2,0),"-")</f>
        <v>Lobo</v>
      </c>
      <c r="K7" s="5" t="s">
        <v>19</v>
      </c>
      <c r="L7" s="4" t="str">
        <f>IFERROR(VLOOKUP('Master+'!J16,'Master+'!$D$8:$E$13,2,0),"-")</f>
        <v>AbelXavier</v>
      </c>
      <c r="M7" s="4">
        <v>3</v>
      </c>
      <c r="N7" s="5" t="s">
        <v>19</v>
      </c>
      <c r="O7" s="4">
        <v>1</v>
      </c>
    </row>
    <row r="8" spans="1:15" s="49" customFormat="1" ht="18" customHeight="1" thickBot="1" x14ac:dyDescent="0.35">
      <c r="A8" s="4" t="s">
        <v>1</v>
      </c>
      <c r="B8" s="4" t="str">
        <f>IFERROR(VLOOKUP('Master+'!C17,'Master+'!$D$8:$E$13,2,0),"-")</f>
        <v>Bomb</v>
      </c>
      <c r="C8" s="5" t="s">
        <v>19</v>
      </c>
      <c r="D8" s="4" t="str">
        <f>IFERROR(VLOOKUP('Master+'!E17,'Master+'!$D$8:$E$13,2,0),"-")</f>
        <v>Playaveli</v>
      </c>
      <c r="E8" s="4">
        <v>0</v>
      </c>
      <c r="F8" s="5" t="s">
        <v>19</v>
      </c>
      <c r="G8" s="4">
        <v>0</v>
      </c>
      <c r="H8" s="6"/>
      <c r="I8" s="4" t="s">
        <v>21</v>
      </c>
      <c r="J8" s="4" t="str">
        <f>IFERROR(VLOOKUP('Master+'!H17,'Master+'!$D$8:$E$13,2,0),"-")</f>
        <v>Playaveli</v>
      </c>
      <c r="K8" s="5" t="s">
        <v>19</v>
      </c>
      <c r="L8" s="4" t="str">
        <f>IFERROR(VLOOKUP('Master+'!J17,'Master+'!$D$8:$E$13,2,0),"-")</f>
        <v>Bomb</v>
      </c>
      <c r="M8" s="4">
        <v>3</v>
      </c>
      <c r="N8" s="5" t="s">
        <v>19</v>
      </c>
      <c r="O8" s="4">
        <v>1</v>
      </c>
    </row>
    <row r="9" spans="1:15" s="49" customFormat="1" ht="18" customHeight="1" thickBot="1" x14ac:dyDescent="0.35">
      <c r="A9" s="4" t="s">
        <v>2</v>
      </c>
      <c r="B9" s="4" t="str">
        <f>IFERROR(VLOOKUP('Master+'!C18,'Master+'!$D$8:$E$13,2,0),"-")</f>
        <v>bobbiebobras</v>
      </c>
      <c r="C9" s="5" t="s">
        <v>19</v>
      </c>
      <c r="D9" s="4" t="str">
        <f>IFERROR(VLOOKUP('Master+'!E18,'Master+'!$D$8:$E$13,2,0),"-")</f>
        <v>DjowGer</v>
      </c>
      <c r="E9" s="4">
        <v>1</v>
      </c>
      <c r="F9" s="5" t="s">
        <v>19</v>
      </c>
      <c r="G9" s="4">
        <v>2</v>
      </c>
      <c r="H9" s="6"/>
      <c r="I9" s="4" t="s">
        <v>22</v>
      </c>
      <c r="J9" s="4" t="str">
        <f>IFERROR(VLOOKUP('Master+'!H18,'Master+'!$D$8:$E$13,2,0),"-")</f>
        <v>DjowGer</v>
      </c>
      <c r="K9" s="5" t="s">
        <v>19</v>
      </c>
      <c r="L9" s="4" t="str">
        <f>IFERROR(VLOOKUP('Master+'!J18,'Master+'!$D$8:$E$13,2,0),"-")</f>
        <v>bobbiebobras</v>
      </c>
      <c r="M9" s="4">
        <v>2</v>
      </c>
      <c r="N9" s="5" t="s">
        <v>19</v>
      </c>
      <c r="O9" s="4">
        <v>1</v>
      </c>
    </row>
    <row r="10" spans="1:15" s="49" customFormat="1" ht="18" customHeight="1" thickBot="1" x14ac:dyDescent="0.35">
      <c r="A10" s="4" t="s">
        <v>3</v>
      </c>
      <c r="B10" s="4" t="str">
        <f>IFERROR(VLOOKUP('Master+'!C19,'Master+'!$D$8:$E$13,2,0),"-")</f>
        <v>Playaveli</v>
      </c>
      <c r="C10" s="5" t="s">
        <v>19</v>
      </c>
      <c r="D10" s="4" t="str">
        <f>IFERROR(VLOOKUP('Master+'!E19,'Master+'!$D$8:$E$13,2,0),"-")</f>
        <v>AbelXavier</v>
      </c>
      <c r="E10" s="4">
        <v>2</v>
      </c>
      <c r="F10" s="5" t="s">
        <v>19</v>
      </c>
      <c r="G10" s="4">
        <v>0</v>
      </c>
      <c r="H10" s="6"/>
      <c r="I10" s="4" t="s">
        <v>23</v>
      </c>
      <c r="J10" s="4" t="str">
        <f>IFERROR(VLOOKUP('Master+'!H19,'Master+'!$D$8:$E$13,2,0),"-")</f>
        <v>AbelXavier</v>
      </c>
      <c r="K10" s="5" t="s">
        <v>19</v>
      </c>
      <c r="L10" s="4" t="str">
        <f>IFERROR(VLOOKUP('Master+'!J19,'Master+'!$D$8:$E$13,2,0),"-")</f>
        <v>Playaveli</v>
      </c>
      <c r="M10" s="4">
        <v>0</v>
      </c>
      <c r="N10" s="5" t="s">
        <v>19</v>
      </c>
      <c r="O10" s="4">
        <v>1</v>
      </c>
    </row>
    <row r="11" spans="1:15" s="49" customFormat="1" ht="18" customHeight="1" thickBot="1" x14ac:dyDescent="0.35">
      <c r="A11" s="4" t="s">
        <v>4</v>
      </c>
      <c r="B11" s="4" t="str">
        <f>IFERROR(VLOOKUP('Master+'!C20,'Master+'!$D$8:$E$13,2,0),"-")</f>
        <v>DjowGer</v>
      </c>
      <c r="C11" s="5" t="s">
        <v>19</v>
      </c>
      <c r="D11" s="4" t="str">
        <f>IFERROR(VLOOKUP('Master+'!E20,'Master+'!$D$8:$E$13,2,0),"-")</f>
        <v>Lobo</v>
      </c>
      <c r="E11" s="4">
        <v>3</v>
      </c>
      <c r="F11" s="5" t="s">
        <v>19</v>
      </c>
      <c r="G11" s="4">
        <v>4</v>
      </c>
      <c r="H11" s="6"/>
      <c r="I11" s="4" t="s">
        <v>24</v>
      </c>
      <c r="J11" s="4" t="str">
        <f>IFERROR(VLOOKUP('Master+'!H20,'Master+'!$D$8:$E$13,2,0),"-")</f>
        <v>Lobo</v>
      </c>
      <c r="K11" s="5" t="s">
        <v>19</v>
      </c>
      <c r="L11" s="4" t="str">
        <f>IFERROR(VLOOKUP('Master+'!J20,'Master+'!$D$8:$E$13,2,0),"-")</f>
        <v>DjowGer</v>
      </c>
      <c r="M11" s="4">
        <v>3</v>
      </c>
      <c r="N11" s="5" t="s">
        <v>19</v>
      </c>
      <c r="O11" s="4">
        <v>0</v>
      </c>
    </row>
    <row r="12" spans="1:15" s="49" customFormat="1" ht="18" customHeight="1" thickBot="1" x14ac:dyDescent="0.35">
      <c r="A12" s="4" t="s">
        <v>5</v>
      </c>
      <c r="B12" s="4" t="str">
        <f>IFERROR(VLOOKUP('Master+'!C21,'Master+'!$D$8:$E$13,2,0),"-")</f>
        <v>bobbiebobras</v>
      </c>
      <c r="C12" s="5" t="s">
        <v>19</v>
      </c>
      <c r="D12" s="4" t="str">
        <f>IFERROR(VLOOKUP('Master+'!E21,'Master+'!$D$8:$E$13,2,0),"-")</f>
        <v>Bomb</v>
      </c>
      <c r="E12" s="4">
        <v>0</v>
      </c>
      <c r="F12" s="5" t="s">
        <v>19</v>
      </c>
      <c r="G12" s="4">
        <v>0</v>
      </c>
      <c r="H12" s="6"/>
      <c r="I12" s="4" t="s">
        <v>25</v>
      </c>
      <c r="J12" s="4" t="str">
        <f>IFERROR(VLOOKUP('Master+'!H21,'Master+'!$D$8:$E$13,2,0),"-")</f>
        <v>Bomb</v>
      </c>
      <c r="K12" s="5" t="s">
        <v>19</v>
      </c>
      <c r="L12" s="4" t="str">
        <f>IFERROR(VLOOKUP('Master+'!J21,'Master+'!$D$8:$E$13,2,0),"-")</f>
        <v>bobbiebobras</v>
      </c>
      <c r="M12" s="4">
        <v>0</v>
      </c>
      <c r="N12" s="5" t="s">
        <v>19</v>
      </c>
      <c r="O12" s="4">
        <v>0</v>
      </c>
    </row>
    <row r="13" spans="1:15" s="49" customFormat="1" ht="18" customHeight="1" thickBot="1" x14ac:dyDescent="0.35">
      <c r="A13" s="4" t="s">
        <v>6</v>
      </c>
      <c r="B13" s="4" t="str">
        <f>IFERROR(VLOOKUP('Master+'!C22,'Master+'!$D$8:$E$13,2,0),"-")</f>
        <v>AbelXavier</v>
      </c>
      <c r="C13" s="5" t="s">
        <v>19</v>
      </c>
      <c r="D13" s="4" t="str">
        <f>IFERROR(VLOOKUP('Master+'!E22,'Master+'!$D$8:$E$13,2,0),"-")</f>
        <v>DjowGer</v>
      </c>
      <c r="E13" s="4">
        <v>1</v>
      </c>
      <c r="F13" s="5" t="s">
        <v>19</v>
      </c>
      <c r="G13" s="4">
        <v>2</v>
      </c>
      <c r="H13" s="6"/>
      <c r="I13" s="4" t="s">
        <v>26</v>
      </c>
      <c r="J13" s="4" t="str">
        <f>IFERROR(VLOOKUP('Master+'!H22,'Master+'!$D$8:$E$13,2,0),"-")</f>
        <v>DjowGer</v>
      </c>
      <c r="K13" s="5" t="s">
        <v>19</v>
      </c>
      <c r="L13" s="4" t="str">
        <f>IFERROR(VLOOKUP('Master+'!J22,'Master+'!$D$8:$E$13,2,0),"-")</f>
        <v>AbelXavier</v>
      </c>
      <c r="M13" s="4">
        <v>0</v>
      </c>
      <c r="N13" s="5" t="s">
        <v>19</v>
      </c>
      <c r="O13" s="4">
        <v>2</v>
      </c>
    </row>
    <row r="14" spans="1:15" s="49" customFormat="1" ht="18" customHeight="1" thickBot="1" x14ac:dyDescent="0.35">
      <c r="A14" s="4" t="s">
        <v>7</v>
      </c>
      <c r="B14" s="4" t="str">
        <f>IFERROR(VLOOKUP('Master+'!C23,'Master+'!$D$8:$E$13,2,0),"-")</f>
        <v>Playaveli</v>
      </c>
      <c r="C14" s="5" t="s">
        <v>19</v>
      </c>
      <c r="D14" s="4" t="str">
        <f>IFERROR(VLOOKUP('Master+'!E23,'Master+'!$D$8:$E$13,2,0),"-")</f>
        <v>bobbiebobras</v>
      </c>
      <c r="E14" s="4">
        <v>4</v>
      </c>
      <c r="F14" s="5" t="s">
        <v>19</v>
      </c>
      <c r="G14" s="4">
        <v>0</v>
      </c>
      <c r="H14" s="6"/>
      <c r="I14" s="4" t="s">
        <v>27</v>
      </c>
      <c r="J14" s="4" t="str">
        <f>IFERROR(VLOOKUP('Master+'!H23,'Master+'!$D$8:$E$13,2,0),"-")</f>
        <v>bobbiebobras</v>
      </c>
      <c r="K14" s="5" t="s">
        <v>19</v>
      </c>
      <c r="L14" s="4" t="str">
        <f>IFERROR(VLOOKUP('Master+'!J23,'Master+'!$D$8:$E$13,2,0),"-")</f>
        <v>Playaveli</v>
      </c>
      <c r="M14" s="4">
        <v>1</v>
      </c>
      <c r="N14" s="5" t="s">
        <v>19</v>
      </c>
      <c r="O14" s="4">
        <v>4</v>
      </c>
    </row>
    <row r="15" spans="1:15" s="49" customFormat="1" ht="18" customHeight="1" thickBot="1" x14ac:dyDescent="0.35">
      <c r="A15" s="4" t="s">
        <v>8</v>
      </c>
      <c r="B15" s="4" t="str">
        <f>IFERROR(VLOOKUP('Master+'!C24,'Master+'!$D$8:$E$13,2,0),"-")</f>
        <v>Lobo</v>
      </c>
      <c r="C15" s="5" t="s">
        <v>19</v>
      </c>
      <c r="D15" s="4" t="str">
        <f>IFERROR(VLOOKUP('Master+'!E24,'Master+'!$D$8:$E$13,2,0),"-")</f>
        <v>Bomb</v>
      </c>
      <c r="E15" s="4">
        <v>2</v>
      </c>
      <c r="F15" s="5" t="s">
        <v>19</v>
      </c>
      <c r="G15" s="4">
        <v>0</v>
      </c>
      <c r="H15" s="6"/>
      <c r="I15" s="4" t="s">
        <v>28</v>
      </c>
      <c r="J15" s="4" t="str">
        <f>IFERROR(VLOOKUP('Master+'!H24,'Master+'!$D$8:$E$13,2,0),"-")</f>
        <v>Bomb</v>
      </c>
      <c r="K15" s="5" t="s">
        <v>19</v>
      </c>
      <c r="L15" s="4" t="str">
        <f>IFERROR(VLOOKUP('Master+'!J24,'Master+'!$D$8:$E$13,2,0),"-")</f>
        <v>Lobo</v>
      </c>
      <c r="M15" s="4">
        <v>3</v>
      </c>
      <c r="N15" s="5" t="s">
        <v>19</v>
      </c>
      <c r="O15" s="4">
        <v>2</v>
      </c>
    </row>
    <row r="16" spans="1:15" s="49" customFormat="1" ht="18" customHeight="1" thickBot="1" x14ac:dyDescent="0.35">
      <c r="A16" s="4" t="s">
        <v>9</v>
      </c>
      <c r="B16" s="4" t="str">
        <f>IFERROR(VLOOKUP('Master+'!C25,'Master+'!$D$8:$E$13,2,0),"-")</f>
        <v>bobbiebobras</v>
      </c>
      <c r="C16" s="5" t="s">
        <v>19</v>
      </c>
      <c r="D16" s="4" t="str">
        <f>IFERROR(VLOOKUP('Master+'!E25,'Master+'!$D$8:$E$13,2,0),"-")</f>
        <v>AbelXavier</v>
      </c>
      <c r="E16" s="4">
        <v>1</v>
      </c>
      <c r="F16" s="5" t="s">
        <v>19</v>
      </c>
      <c r="G16" s="4">
        <v>1</v>
      </c>
      <c r="H16" s="6"/>
      <c r="I16" s="4" t="s">
        <v>29</v>
      </c>
      <c r="J16" s="4" t="str">
        <f>IFERROR(VLOOKUP('Master+'!H25,'Master+'!$D$8:$E$13,2,0),"-")</f>
        <v>AbelXavier</v>
      </c>
      <c r="K16" s="5" t="s">
        <v>19</v>
      </c>
      <c r="L16" s="4" t="str">
        <f>IFERROR(VLOOKUP('Master+'!J25,'Master+'!$D$8:$E$13,2,0),"-")</f>
        <v>bobbiebobras</v>
      </c>
      <c r="M16" s="4">
        <v>0</v>
      </c>
      <c r="N16" s="5" t="s">
        <v>19</v>
      </c>
      <c r="O16" s="4">
        <v>3</v>
      </c>
    </row>
    <row r="17" spans="1:15" s="49" customFormat="1" ht="18" customHeight="1" thickBot="1" x14ac:dyDescent="0.35">
      <c r="A17" s="4" t="s">
        <v>10</v>
      </c>
      <c r="B17" s="4" t="str">
        <f>IFERROR(VLOOKUP('Master+'!C26,'Master+'!$D$8:$E$13,2,0),"-")</f>
        <v>Bomb</v>
      </c>
      <c r="C17" s="5" t="s">
        <v>19</v>
      </c>
      <c r="D17" s="4" t="str">
        <f>IFERROR(VLOOKUP('Master+'!E26,'Master+'!$D$8:$E$13,2,0),"-")</f>
        <v>DjowGer</v>
      </c>
      <c r="E17" s="4">
        <v>3</v>
      </c>
      <c r="F17" s="5" t="s">
        <v>19</v>
      </c>
      <c r="G17" s="4">
        <v>3</v>
      </c>
      <c r="H17" s="6"/>
      <c r="I17" s="4" t="s">
        <v>30</v>
      </c>
      <c r="J17" s="4" t="str">
        <f>IFERROR(VLOOKUP('Master+'!H26,'Master+'!$D$8:$E$13,2,0),"-")</f>
        <v>DjowGer</v>
      </c>
      <c r="K17" s="5" t="s">
        <v>19</v>
      </c>
      <c r="L17" s="4" t="str">
        <f>IFERROR(VLOOKUP('Master+'!J26,'Master+'!$D$8:$E$13,2,0),"-")</f>
        <v>Bomb</v>
      </c>
      <c r="M17" s="4">
        <v>0</v>
      </c>
      <c r="N17" s="5" t="s">
        <v>19</v>
      </c>
      <c r="O17" s="4">
        <v>5</v>
      </c>
    </row>
    <row r="18" spans="1:15" s="49" customFormat="1" ht="18" customHeight="1" thickBot="1" x14ac:dyDescent="0.35">
      <c r="A18" s="4" t="s">
        <v>11</v>
      </c>
      <c r="B18" s="4" t="str">
        <f>IFERROR(VLOOKUP('Master+'!C27,'Master+'!$D$8:$E$13,2,0),"-")</f>
        <v>Lobo</v>
      </c>
      <c r="C18" s="5" t="s">
        <v>19</v>
      </c>
      <c r="D18" s="4" t="str">
        <f>IFERROR(VLOOKUP('Master+'!E27,'Master+'!$D$8:$E$13,2,0),"-")</f>
        <v>Playaveli</v>
      </c>
      <c r="E18" s="4">
        <v>0</v>
      </c>
      <c r="F18" s="5" t="s">
        <v>19</v>
      </c>
      <c r="G18" s="4">
        <v>5</v>
      </c>
      <c r="H18" s="6"/>
      <c r="I18" s="4" t="s">
        <v>31</v>
      </c>
      <c r="J18" s="4" t="str">
        <f>IFERROR(VLOOKUP('Master+'!H27,'Master+'!$D$8:$E$13,2,0),"-")</f>
        <v>Playaveli</v>
      </c>
      <c r="K18" s="5" t="s">
        <v>19</v>
      </c>
      <c r="L18" s="4" t="str">
        <f>IFERROR(VLOOKUP('Master+'!J27,'Master+'!$D$8:$E$13,2,0),"-")</f>
        <v>Lobo</v>
      </c>
      <c r="M18" s="4">
        <v>3</v>
      </c>
      <c r="N18" s="5" t="s">
        <v>19</v>
      </c>
      <c r="O18" s="4">
        <v>2</v>
      </c>
    </row>
    <row r="19" spans="1:15" s="49" customFormat="1" ht="18" customHeight="1" thickBot="1" x14ac:dyDescent="0.35">
      <c r="A19" s="4" t="s">
        <v>12</v>
      </c>
      <c r="B19" s="4" t="str">
        <f>IFERROR(VLOOKUP('Master+'!C28,'Master+'!$D$8:$E$13,2,0),"-")</f>
        <v>AbelXavier</v>
      </c>
      <c r="C19" s="5" t="s">
        <v>19</v>
      </c>
      <c r="D19" s="4" t="str">
        <f>IFERROR(VLOOKUP('Master+'!E28,'Master+'!$D$8:$E$13,2,0),"-")</f>
        <v>Bomb</v>
      </c>
      <c r="E19" s="4">
        <v>1</v>
      </c>
      <c r="F19" s="5" t="s">
        <v>19</v>
      </c>
      <c r="G19" s="4">
        <v>1</v>
      </c>
      <c r="H19" s="6"/>
      <c r="I19" s="4" t="s">
        <v>32</v>
      </c>
      <c r="J19" s="4" t="str">
        <f>IFERROR(VLOOKUP('Master+'!H28,'Master+'!$D$8:$E$13,2,0),"-")</f>
        <v>Bomb</v>
      </c>
      <c r="K19" s="5" t="s">
        <v>19</v>
      </c>
      <c r="L19" s="4" t="str">
        <f>IFERROR(VLOOKUP('Master+'!J28,'Master+'!$D$8:$E$13,2,0),"-")</f>
        <v>AbelXavier</v>
      </c>
      <c r="M19" s="4">
        <v>1</v>
      </c>
      <c r="N19" s="5" t="s">
        <v>19</v>
      </c>
      <c r="O19" s="4">
        <v>1</v>
      </c>
    </row>
    <row r="20" spans="1:15" s="49" customFormat="1" ht="18" customHeight="1" thickBot="1" x14ac:dyDescent="0.35">
      <c r="A20" s="4" t="s">
        <v>13</v>
      </c>
      <c r="B20" s="4" t="str">
        <f>IFERROR(VLOOKUP('Master+'!C29,'Master+'!$D$8:$E$13,2,0),"-")</f>
        <v>bobbiebobras</v>
      </c>
      <c r="C20" s="5" t="s">
        <v>19</v>
      </c>
      <c r="D20" s="4" t="str">
        <f>IFERROR(VLOOKUP('Master+'!E29,'Master+'!$D$8:$E$13,2,0),"-")</f>
        <v>Lobo</v>
      </c>
      <c r="E20" s="4">
        <v>3</v>
      </c>
      <c r="F20" s="5" t="s">
        <v>19</v>
      </c>
      <c r="G20" s="4">
        <v>3</v>
      </c>
      <c r="H20" s="6"/>
      <c r="I20" s="4" t="s">
        <v>33</v>
      </c>
      <c r="J20" s="4" t="str">
        <f>IFERROR(VLOOKUP('Master+'!H29,'Master+'!$D$8:$E$13,2,0),"-")</f>
        <v>Lobo</v>
      </c>
      <c r="K20" s="5" t="s">
        <v>19</v>
      </c>
      <c r="L20" s="4" t="str">
        <f>IFERROR(VLOOKUP('Master+'!J29,'Master+'!$D$8:$E$13,2,0),"-")</f>
        <v>bobbiebobras</v>
      </c>
      <c r="M20" s="4">
        <v>1</v>
      </c>
      <c r="N20" s="5" t="s">
        <v>19</v>
      </c>
      <c r="O20" s="4">
        <v>1</v>
      </c>
    </row>
    <row r="21" spans="1:15" s="49" customFormat="1" ht="18" customHeight="1" thickBot="1" x14ac:dyDescent="0.35">
      <c r="A21" s="4" t="s">
        <v>14</v>
      </c>
      <c r="B21" s="4" t="str">
        <f>IFERROR(VLOOKUP('Master+'!C30,'Master+'!$D$8:$E$13,2,0),"-")</f>
        <v>DjowGer</v>
      </c>
      <c r="C21" s="5" t="s">
        <v>19</v>
      </c>
      <c r="D21" s="4" t="str">
        <f>IFERROR(VLOOKUP('Master+'!E30,'Master+'!$D$8:$E$13,2,0),"-")</f>
        <v>Playaveli</v>
      </c>
      <c r="E21" s="4">
        <v>1</v>
      </c>
      <c r="F21" s="5" t="s">
        <v>19</v>
      </c>
      <c r="G21" s="4">
        <v>4</v>
      </c>
      <c r="H21" s="6"/>
      <c r="I21" s="4" t="s">
        <v>34</v>
      </c>
      <c r="J21" s="4" t="str">
        <f>IFERROR(VLOOKUP('Master+'!H30,'Master+'!$D$8:$E$13,2,0),"-")</f>
        <v>Playaveli</v>
      </c>
      <c r="K21" s="5" t="s">
        <v>19</v>
      </c>
      <c r="L21" s="4" t="str">
        <f>IFERROR(VLOOKUP('Master+'!J30,'Master+'!$D$8:$E$13,2,0),"-")</f>
        <v>DjowGer</v>
      </c>
      <c r="M21" s="4">
        <v>4</v>
      </c>
      <c r="N21" s="5" t="s">
        <v>19</v>
      </c>
      <c r="O21" s="4">
        <v>1</v>
      </c>
    </row>
  </sheetData>
  <mergeCells count="11">
    <mergeCell ref="E6:G6"/>
    <mergeCell ref="M6:O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J30"/>
  <sheetViews>
    <sheetView showGridLines="0" workbookViewId="0">
      <selection activeCell="O26" sqref="O26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65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tr">
        <f>IF('Gr. A res'!T12&lt;84,"-",Table!C11)</f>
        <v>DjowGer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tr">
        <f>IF('Gr. B res'!T10&lt;60,"-",Table!N11)</f>
        <v>Bomb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tr">
        <f>IF('Gr. C res'!T10&lt;60,"-",Table!C22)</f>
        <v>Lobo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tr">
        <f>IF('Gr. D res'!T10&lt;60,"-",Table!N22)</f>
        <v>bobbiebobras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tr">
        <f>IF('Gr. E res'!T10&lt;60,"-",Table!C32)</f>
        <v>Playaveli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tr">
        <f>IF('Gr. F res'!T10&lt;60,"-",Table!N32)</f>
        <v>AbelXavier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9" t="s">
        <v>18</v>
      </c>
      <c r="C15" s="9" t="s">
        <v>15</v>
      </c>
      <c r="D15" s="9"/>
      <c r="E15" s="9" t="s">
        <v>16</v>
      </c>
      <c r="F15" s="3"/>
      <c r="G15" s="9" t="s">
        <v>18</v>
      </c>
      <c r="H15" s="9" t="s">
        <v>15</v>
      </c>
      <c r="I15" s="9"/>
      <c r="J15" s="9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8">
    <mergeCell ref="E10:H10"/>
    <mergeCell ref="E11:H11"/>
    <mergeCell ref="E12:H12"/>
    <mergeCell ref="E13:H13"/>
    <mergeCell ref="D2:H5"/>
    <mergeCell ref="E8:H8"/>
    <mergeCell ref="E9:H9"/>
    <mergeCell ref="E7:H7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>
      <selection activeCell="Q15" sqref="Q15"/>
    </sheetView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'Master+'!D2</f>
        <v>Master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DjowGer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3</v>
      </c>
      <c r="V3" s="21">
        <f t="array" ref="V3">SUM((home=S3)*(homescore=visitorscore)*ISNUMBER(visitorscore),(visitor=S3)*(visitorscore=homescore)*ISNUMBER(homescore))</f>
        <v>1</v>
      </c>
      <c r="W3" s="21">
        <f t="array" ref="W3">SUM((home=S3)*(homescore&lt;visitorscore),(visitor=S3)*(visitorscore&lt;homescore))</f>
        <v>6</v>
      </c>
      <c r="X3" s="32">
        <f t="shared" ref="X3" si="1">SUMIF(home,S3,homescore)+SUMIF(visitor,S3,visitorscore)</f>
        <v>14</v>
      </c>
      <c r="Y3" s="33">
        <f t="shared" ref="Y3" si="2">SUMIF(home,S3,visitorscore)+SUMIF(visitor,S3,homescore)</f>
        <v>28</v>
      </c>
      <c r="Z3" s="34">
        <f>X3-Y3</f>
        <v>-14</v>
      </c>
      <c r="AA3" s="32">
        <f>U3*3+V3</f>
        <v>10</v>
      </c>
      <c r="AB3" s="20">
        <f>X3+Z3*10000+AA3*1000000000</f>
        <v>9999860014</v>
      </c>
    </row>
    <row r="4" spans="1:28" x14ac:dyDescent="0.3">
      <c r="A4" s="35" t="str">
        <f>'Master+'!E8</f>
        <v>DjowGer</v>
      </c>
      <c r="B4" s="19"/>
      <c r="C4" s="19"/>
      <c r="S4" s="36" t="str">
        <f t="shared" si="0"/>
        <v>Bomb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2</v>
      </c>
      <c r="V4" s="21">
        <f t="array" ref="V4">SUM((home=S4)*(homescore=visitorscore)*ISNUMBER(visitorscore),(visitor=S4)*(visitorscore=homescore)*ISNUMBER(homescore))</f>
        <v>6</v>
      </c>
      <c r="W4" s="21">
        <f t="array" ref="W4">SUM((home=S4)*(homescore&lt;visitorscore),(visitor=S4)*(visitorscore&lt;homescore))</f>
        <v>2</v>
      </c>
      <c r="X4" s="32">
        <f t="shared" ref="X4" si="3">SUMIF(home,S4,homescore)+SUMIF(visitor,S4,visitorscore)</f>
        <v>14</v>
      </c>
      <c r="Y4" s="33">
        <f t="shared" ref="Y4" si="4">SUMIF(home,S4,visitorscore)+SUMIF(visitor,S4,homescore)</f>
        <v>12</v>
      </c>
      <c r="Z4" s="34">
        <f t="shared" ref="Z4:Z8" si="5">X4-Y4</f>
        <v>2</v>
      </c>
      <c r="AA4" s="32">
        <f t="shared" ref="AA4:AA8" si="6">U4*3+V4</f>
        <v>12</v>
      </c>
      <c r="AB4" s="20">
        <f t="shared" ref="AB4:AB8" si="7">X4+Z4*10000+AA4*1000000000</f>
        <v>12000020014</v>
      </c>
    </row>
    <row r="5" spans="1:28" x14ac:dyDescent="0.3">
      <c r="A5" s="35" t="str">
        <f>'Master+'!E9</f>
        <v>Bomb</v>
      </c>
      <c r="B5" s="19"/>
      <c r="C5" s="19"/>
      <c r="S5" s="36" t="str">
        <f t="shared" si="0"/>
        <v>Lobo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5</v>
      </c>
      <c r="V5" s="21">
        <f t="array" ref="V5">SUM((home=S5)*(homescore=visitorscore)*ISNUMBER(visitorscore),(visitor=S5)*(visitorscore=homescore)*ISNUMBER(homescore))</f>
        <v>2</v>
      </c>
      <c r="W5" s="21">
        <f t="array" ref="W5">SUM((home=S5)*(homescore&lt;visitorscore),(visitor=S5)*(visitorscore&lt;homescore))</f>
        <v>3</v>
      </c>
      <c r="X5" s="32">
        <f t="shared" ref="X5" si="8">SUMIF(home,S5,homescore)+SUMIF(visitor,S5,visitorscore)</f>
        <v>23</v>
      </c>
      <c r="Y5" s="33">
        <f t="shared" ref="Y5" si="9">SUMIF(home,S5,visitorscore)+SUMIF(visitor,S5,homescore)</f>
        <v>21</v>
      </c>
      <c r="Z5" s="34">
        <f t="shared" si="5"/>
        <v>2</v>
      </c>
      <c r="AA5" s="32">
        <f t="shared" si="6"/>
        <v>17</v>
      </c>
      <c r="AB5" s="20">
        <f t="shared" si="7"/>
        <v>17000020023</v>
      </c>
    </row>
    <row r="6" spans="1:28" x14ac:dyDescent="0.3">
      <c r="A6" s="35" t="str">
        <f>'Master+'!E10</f>
        <v>Lobo</v>
      </c>
      <c r="B6" s="19"/>
      <c r="C6" s="19"/>
      <c r="S6" s="36" t="str">
        <f t="shared" si="0"/>
        <v>bobbiebobras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1</v>
      </c>
      <c r="V6" s="21">
        <f t="array" ref="V6">SUM((home=S6)*(homescore=visitorscore)*ISNUMBER(visitorscore),(visitor=S6)*(visitorscore=homescore)*ISNUMBER(homescore))</f>
        <v>5</v>
      </c>
      <c r="W6" s="21">
        <f t="array" ref="W6">SUM((home=S6)*(homescore&lt;visitorscore),(visitor=S6)*(visitorscore&lt;homescore))</f>
        <v>4</v>
      </c>
      <c r="X6" s="32">
        <f t="shared" ref="X6" si="10">SUMIF(home,S6,homescore)+SUMIF(visitor,S6,visitorscore)</f>
        <v>11</v>
      </c>
      <c r="Y6" s="33">
        <f t="shared" ref="Y6" si="11">SUMIF(home,S6,visitorscore)+SUMIF(visitor,S6,homescore)</f>
        <v>17</v>
      </c>
      <c r="Z6" s="34">
        <f t="shared" si="5"/>
        <v>-6</v>
      </c>
      <c r="AA6" s="32">
        <f t="shared" si="6"/>
        <v>8</v>
      </c>
      <c r="AB6" s="20">
        <f t="shared" si="7"/>
        <v>7999940011</v>
      </c>
    </row>
    <row r="7" spans="1:28" x14ac:dyDescent="0.3">
      <c r="A7" s="35" t="str">
        <f>'Master+'!E11</f>
        <v>bobbiebobras</v>
      </c>
      <c r="B7" s="19"/>
      <c r="C7" s="19"/>
      <c r="S7" s="37" t="str">
        <f t="shared" si="0"/>
        <v>Playaveli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9</v>
      </c>
      <c r="V7" s="21">
        <f t="array" ref="V7">SUM((home=S7)*(homescore=visitorscore)*ISNUMBER(visitorscore),(visitor=S7)*(visitorscore=homescore)*ISNUMBER(homescore))</f>
        <v>1</v>
      </c>
      <c r="W7" s="21">
        <f t="array" ref="W7">SUM((home=S7)*(homescore&lt;visitorscore),(visitor=S7)*(visitorscore&lt;homescore))</f>
        <v>0</v>
      </c>
      <c r="X7" s="32">
        <f t="shared" ref="X7" si="12">SUMIF(home,S7,homescore)+SUMIF(visitor,S7,visitorscore)</f>
        <v>30</v>
      </c>
      <c r="Y7" s="33">
        <f t="shared" ref="Y7" si="13">SUMIF(home,S7,visitorscore)+SUMIF(visitor,S7,homescore)</f>
        <v>6</v>
      </c>
      <c r="Z7" s="34">
        <f t="shared" si="5"/>
        <v>24</v>
      </c>
      <c r="AA7" s="32">
        <f t="shared" si="6"/>
        <v>28</v>
      </c>
      <c r="AB7" s="20">
        <f t="shared" si="7"/>
        <v>28000240030</v>
      </c>
    </row>
    <row r="8" spans="1:28" x14ac:dyDescent="0.3">
      <c r="A8" s="35" t="str">
        <f>'Master+'!E12</f>
        <v>Playaveli</v>
      </c>
      <c r="B8" s="19"/>
      <c r="C8" s="19"/>
      <c r="S8" s="37" t="str">
        <f t="shared" si="0"/>
        <v>AbelXavier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1</v>
      </c>
      <c r="V8" s="21">
        <f t="array" ref="V8">SUM((home=S8)*(homescore=visitorscore)*ISNUMBER(visitorscore),(visitor=S8)*(visitorscore=homescore)*ISNUMBER(homescore))</f>
        <v>3</v>
      </c>
      <c r="W8" s="21">
        <f t="array" ref="W8">SUM((home=S8)*(homescore&lt;visitorscore),(visitor=S8)*(visitorscore&lt;homescore))</f>
        <v>6</v>
      </c>
      <c r="X8" s="32">
        <f t="shared" ref="X8" si="14">SUMIF(home,S8,homescore)+SUMIF(visitor,S8,visitorscore)</f>
        <v>9</v>
      </c>
      <c r="Y8" s="33">
        <f t="shared" ref="Y8" si="15">SUMIF(home,S8,visitorscore)+SUMIF(visitor,S8,homescore)</f>
        <v>17</v>
      </c>
      <c r="Z8" s="34">
        <f t="shared" si="5"/>
        <v>-8</v>
      </c>
      <c r="AA8" s="32">
        <f t="shared" si="6"/>
        <v>6</v>
      </c>
      <c r="AB8" s="20">
        <f t="shared" si="7"/>
        <v>5999920009</v>
      </c>
    </row>
    <row r="9" spans="1:28" x14ac:dyDescent="0.3">
      <c r="A9" s="35" t="str">
        <f>'Master+'!E13</f>
        <v>AbelXavier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Master!B7</f>
        <v>AbelXavier</v>
      </c>
      <c r="B13" s="39" t="str">
        <f>Master!D7</f>
        <v>Lobo</v>
      </c>
      <c r="C13" s="40">
        <f>IF(Master!E7="","",Master!E7)</f>
        <v>2</v>
      </c>
      <c r="D13" s="40" t="s">
        <v>64</v>
      </c>
      <c r="E13" s="40">
        <f>IF(Master!G7="","",Master!G7)</f>
        <v>3</v>
      </c>
      <c r="F13" s="34"/>
    </row>
    <row r="14" spans="1:28" x14ac:dyDescent="0.3">
      <c r="A14" s="39" t="str">
        <f>Master!B8</f>
        <v>Bomb</v>
      </c>
      <c r="B14" s="39" t="str">
        <f>Master!D8</f>
        <v>Playaveli</v>
      </c>
      <c r="C14" s="40">
        <f>IF(Master!E8="","",Master!E8)</f>
        <v>0</v>
      </c>
      <c r="D14" s="40" t="s">
        <v>64</v>
      </c>
      <c r="E14" s="40">
        <f>IF(Master!G8="","",Master!G8)</f>
        <v>0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Master!B9</f>
        <v>bobbiebobras</v>
      </c>
      <c r="B15" s="39" t="str">
        <f>Master!D9</f>
        <v>DjowGer</v>
      </c>
      <c r="C15" s="40">
        <f>IF(Master!E9="","",Master!E9)</f>
        <v>1</v>
      </c>
      <c r="D15" s="40" t="s">
        <v>64</v>
      </c>
      <c r="E15" s="40">
        <f>IF(Master!G9="","",Master!G9)</f>
        <v>2</v>
      </c>
      <c r="F15" s="34"/>
      <c r="H15" s="42" t="str">
        <f t="array" ref="H15">INDEX($S$3:$S$8,MATCH(LARGE($AB$3:$AB$8-ROW($AB$3:$AB$8)/COUNT($AB$3:$AB$8),ROW(H15)-ROW(H$15)+1),$AB$3:$AB$8-ROW($AB$3:$AB$8)/COUNT($AB$3:$AB$8),0))</f>
        <v>Playaveli</v>
      </c>
      <c r="I15" s="33">
        <f t="shared" ref="I15:I20" si="16">VLOOKUP($H15,$S$3:$AA$8,2,0)</f>
        <v>10</v>
      </c>
      <c r="J15" s="21">
        <f t="shared" ref="J15:J20" si="17">VLOOKUP($H15,$S$3:$AA$8,3,0)</f>
        <v>9</v>
      </c>
      <c r="K15" s="21">
        <f t="shared" ref="K15:K20" si="18">VLOOKUP($H15,$S$3:$AA$8,4,0)</f>
        <v>1</v>
      </c>
      <c r="L15" s="21">
        <f t="shared" ref="L15:L20" si="19">VLOOKUP($H15,$S$3:$AA$8,5,0)</f>
        <v>0</v>
      </c>
      <c r="M15" s="32">
        <f t="shared" ref="M15:M20" si="20">VLOOKUP($H15,$S$3:$AA$8,6,0)</f>
        <v>30</v>
      </c>
      <c r="N15" s="33">
        <f t="shared" ref="N15:N20" si="21">VLOOKUP($H15,$S$3:$AA$8,7,0)</f>
        <v>6</v>
      </c>
      <c r="O15" s="21">
        <f t="shared" ref="O15:O20" si="22">VLOOKUP($H15,$S$3:$AA$8,8,0)</f>
        <v>24</v>
      </c>
      <c r="P15" s="32">
        <f t="shared" ref="P15:P20" si="23">VLOOKUP($H15,$S$3:$AA$8,9,0)</f>
        <v>28</v>
      </c>
      <c r="Q15" s="21">
        <f>VLOOKUP(H15,'Master+'!$E$8:$H$15,3,0)</f>
        <v>0</v>
      </c>
    </row>
    <row r="16" spans="1:28" x14ac:dyDescent="0.3">
      <c r="A16" s="39" t="str">
        <f>Master!B10</f>
        <v>Playaveli</v>
      </c>
      <c r="B16" s="39" t="str">
        <f>Master!D10</f>
        <v>AbelXavier</v>
      </c>
      <c r="C16" s="40">
        <f>IF(Master!E10="","",Master!E10)</f>
        <v>2</v>
      </c>
      <c r="D16" s="40" t="s">
        <v>64</v>
      </c>
      <c r="E16" s="40">
        <f>IF(Master!G10="","",Master!G10)</f>
        <v>0</v>
      </c>
      <c r="F16" s="34"/>
      <c r="H16" s="42" t="str">
        <f t="array" ref="H16">INDEX($S$3:$S$8,MATCH(LARGE($AB$3:$AB$8-ROW($AB$3:$AB$8)/COUNT($AB$3:$AB$8),ROW(H16)-ROW(H$15)+1),$AB$3:$AB$8-ROW($AB$3:$AB$8)/COUNT($AB$3:$AB$8),0))</f>
        <v>Lobo</v>
      </c>
      <c r="I16" s="33">
        <f t="shared" si="16"/>
        <v>10</v>
      </c>
      <c r="J16" s="21">
        <f t="shared" si="17"/>
        <v>5</v>
      </c>
      <c r="K16" s="21">
        <f t="shared" si="18"/>
        <v>2</v>
      </c>
      <c r="L16" s="21">
        <f t="shared" si="19"/>
        <v>3</v>
      </c>
      <c r="M16" s="32">
        <f t="shared" si="20"/>
        <v>23</v>
      </c>
      <c r="N16" s="33">
        <f t="shared" si="21"/>
        <v>21</v>
      </c>
      <c r="O16" s="21">
        <f t="shared" si="22"/>
        <v>2</v>
      </c>
      <c r="P16" s="32">
        <f t="shared" si="23"/>
        <v>17</v>
      </c>
      <c r="Q16" s="21">
        <f>VLOOKUP(H16,'Master+'!$E$8:$H$15,3,0)</f>
        <v>0</v>
      </c>
    </row>
    <row r="17" spans="1:17" x14ac:dyDescent="0.3">
      <c r="A17" s="39" t="str">
        <f>Master!B11</f>
        <v>DjowGer</v>
      </c>
      <c r="B17" s="39" t="str">
        <f>Master!D11</f>
        <v>Lobo</v>
      </c>
      <c r="C17" s="40">
        <f>IF(Master!E11="","",Master!E11)</f>
        <v>3</v>
      </c>
      <c r="D17" s="40" t="s">
        <v>64</v>
      </c>
      <c r="E17" s="40">
        <f>IF(Master!G11="","",Master!G11)</f>
        <v>4</v>
      </c>
      <c r="F17" s="34"/>
      <c r="H17" s="42" t="str">
        <f t="array" ref="H17">INDEX($S$3:$S$8,MATCH(LARGE($AB$3:$AB$8-ROW($AB$3:$AB$8)/COUNT($AB$3:$AB$8),ROW(H17)-ROW(H$15)+1),$AB$3:$AB$8-ROW($AB$3:$AB$8)/COUNT($AB$3:$AB$8),0))</f>
        <v>Bomb</v>
      </c>
      <c r="I17" s="33">
        <f t="shared" si="16"/>
        <v>10</v>
      </c>
      <c r="J17" s="21">
        <f t="shared" si="17"/>
        <v>2</v>
      </c>
      <c r="K17" s="21">
        <f t="shared" si="18"/>
        <v>6</v>
      </c>
      <c r="L17" s="21">
        <f t="shared" si="19"/>
        <v>2</v>
      </c>
      <c r="M17" s="32">
        <f t="shared" si="20"/>
        <v>14</v>
      </c>
      <c r="N17" s="33">
        <f t="shared" si="21"/>
        <v>12</v>
      </c>
      <c r="O17" s="21">
        <f t="shared" si="22"/>
        <v>2</v>
      </c>
      <c r="P17" s="32">
        <f t="shared" si="23"/>
        <v>12</v>
      </c>
      <c r="Q17" s="21">
        <f>VLOOKUP(H17,'Master+'!$E$8:$H$15,3,0)</f>
        <v>0</v>
      </c>
    </row>
    <row r="18" spans="1:17" x14ac:dyDescent="0.3">
      <c r="A18" s="39" t="str">
        <f>Master!B12</f>
        <v>bobbiebobras</v>
      </c>
      <c r="B18" s="39" t="str">
        <f>Master!D12</f>
        <v>Bomb</v>
      </c>
      <c r="C18" s="40">
        <f>IF(Master!E12="","",Master!E12)</f>
        <v>0</v>
      </c>
      <c r="D18" s="40" t="s">
        <v>64</v>
      </c>
      <c r="E18" s="40">
        <f>IF(Master!G12="","",Master!G12)</f>
        <v>0</v>
      </c>
      <c r="F18" s="34"/>
      <c r="H18" s="42" t="str">
        <f t="array" ref="H18">INDEX($S$3:$S$8,MATCH(LARGE($AB$3:$AB$8-ROW($AB$3:$AB$8)/COUNT($AB$3:$AB$8),ROW(H18)-ROW(H$15)+1),$AB$3:$AB$8-ROW($AB$3:$AB$8)/COUNT($AB$3:$AB$8),0))</f>
        <v>DjowGer</v>
      </c>
      <c r="I18" s="33">
        <f t="shared" si="16"/>
        <v>10</v>
      </c>
      <c r="J18" s="21">
        <f t="shared" si="17"/>
        <v>3</v>
      </c>
      <c r="K18" s="21">
        <f t="shared" si="18"/>
        <v>1</v>
      </c>
      <c r="L18" s="21">
        <f t="shared" si="19"/>
        <v>6</v>
      </c>
      <c r="M18" s="32">
        <f t="shared" si="20"/>
        <v>14</v>
      </c>
      <c r="N18" s="33">
        <f t="shared" si="21"/>
        <v>28</v>
      </c>
      <c r="O18" s="21">
        <f t="shared" si="22"/>
        <v>-14</v>
      </c>
      <c r="P18" s="32">
        <f t="shared" si="23"/>
        <v>10</v>
      </c>
      <c r="Q18" s="21">
        <f>VLOOKUP(H18,'Master+'!$E$8:$H$15,3,0)</f>
        <v>0</v>
      </c>
    </row>
    <row r="19" spans="1:17" x14ac:dyDescent="0.3">
      <c r="A19" s="39" t="str">
        <f>Master!B13</f>
        <v>AbelXavier</v>
      </c>
      <c r="B19" s="39" t="str">
        <f>Master!D13</f>
        <v>DjowGer</v>
      </c>
      <c r="C19" s="40">
        <f>IF(Master!E13="","",Master!E13)</f>
        <v>1</v>
      </c>
      <c r="D19" s="40" t="s">
        <v>64</v>
      </c>
      <c r="E19" s="40">
        <f>IF(Master!G13="","",Master!G13)</f>
        <v>2</v>
      </c>
      <c r="H19" s="42" t="str">
        <f t="array" ref="H19">INDEX($S$3:$S$8,MATCH(LARGE($AB$3:$AB$8-ROW($AB$3:$AB$8)/COUNT($AB$3:$AB$8),ROW(H19)-ROW(H$15)+1),$AB$3:$AB$8-ROW($AB$3:$AB$8)/COUNT($AB$3:$AB$8),0))</f>
        <v>bobbiebobras</v>
      </c>
      <c r="I19" s="33">
        <f t="shared" si="16"/>
        <v>10</v>
      </c>
      <c r="J19" s="21">
        <f t="shared" si="17"/>
        <v>1</v>
      </c>
      <c r="K19" s="21">
        <f t="shared" si="18"/>
        <v>5</v>
      </c>
      <c r="L19" s="21">
        <f t="shared" si="19"/>
        <v>4</v>
      </c>
      <c r="M19" s="32">
        <f t="shared" si="20"/>
        <v>11</v>
      </c>
      <c r="N19" s="33">
        <f t="shared" si="21"/>
        <v>17</v>
      </c>
      <c r="O19" s="21">
        <f t="shared" si="22"/>
        <v>-6</v>
      </c>
      <c r="P19" s="32">
        <f t="shared" si="23"/>
        <v>8</v>
      </c>
      <c r="Q19" s="21">
        <f>VLOOKUP(H19,'Master+'!$E$8:$H$15,3,0)</f>
        <v>0</v>
      </c>
    </row>
    <row r="20" spans="1:17" x14ac:dyDescent="0.3">
      <c r="A20" s="39" t="str">
        <f>Master!B14</f>
        <v>Playaveli</v>
      </c>
      <c r="B20" s="39" t="str">
        <f>Master!D14</f>
        <v>bobbiebobras</v>
      </c>
      <c r="C20" s="40">
        <f>IF(Master!E14="","",Master!E14)</f>
        <v>4</v>
      </c>
      <c r="D20" s="40" t="s">
        <v>64</v>
      </c>
      <c r="E20" s="40">
        <f>IF(Master!G14="","",Master!G14)</f>
        <v>0</v>
      </c>
      <c r="H20" s="42" t="str">
        <f t="array" ref="H20">INDEX($S$3:$S$8,MATCH(LARGE($AB$3:$AB$8-ROW($AB$3:$AB$8)/COUNT($AB$3:$AB$8),ROW(H20)-ROW(H$15)+1),$AB$3:$AB$8-ROW($AB$3:$AB$8)/COUNT($AB$3:$AB$8),0))</f>
        <v>AbelXavier</v>
      </c>
      <c r="I20" s="33">
        <f t="shared" si="16"/>
        <v>10</v>
      </c>
      <c r="J20" s="21">
        <f t="shared" si="17"/>
        <v>1</v>
      </c>
      <c r="K20" s="21">
        <f t="shared" si="18"/>
        <v>3</v>
      </c>
      <c r="L20" s="21">
        <f t="shared" si="19"/>
        <v>6</v>
      </c>
      <c r="M20" s="32">
        <f t="shared" si="20"/>
        <v>9</v>
      </c>
      <c r="N20" s="33">
        <f t="shared" si="21"/>
        <v>17</v>
      </c>
      <c r="O20" s="21">
        <f t="shared" si="22"/>
        <v>-8</v>
      </c>
      <c r="P20" s="32">
        <f t="shared" si="23"/>
        <v>6</v>
      </c>
      <c r="Q20" s="21">
        <f>VLOOKUP(H20,'Master+'!$E$8:$H$15,3,0)</f>
        <v>0</v>
      </c>
    </row>
    <row r="21" spans="1:17" x14ac:dyDescent="0.3">
      <c r="A21" s="39" t="str">
        <f>Master!B15</f>
        <v>Lobo</v>
      </c>
      <c r="B21" s="39" t="str">
        <f>Master!D15</f>
        <v>Bomb</v>
      </c>
      <c r="C21" s="40">
        <f>IF(Master!E15="","",Master!E15)</f>
        <v>2</v>
      </c>
      <c r="D21" s="40" t="s">
        <v>64</v>
      </c>
      <c r="E21" s="40">
        <f>IF(Master!G15="","",Master!G15)</f>
        <v>0</v>
      </c>
      <c r="Q21" s="21"/>
    </row>
    <row r="22" spans="1:17" x14ac:dyDescent="0.3">
      <c r="A22" s="39" t="str">
        <f>Master!B16</f>
        <v>bobbiebobras</v>
      </c>
      <c r="B22" s="39" t="str">
        <f>Master!D16</f>
        <v>AbelXavier</v>
      </c>
      <c r="C22" s="40">
        <f>IF(Master!E16="","",Master!E16)</f>
        <v>1</v>
      </c>
      <c r="D22" s="40" t="s">
        <v>64</v>
      </c>
      <c r="E22" s="40">
        <f>IF(Master!G16="","",Master!G16)</f>
        <v>1</v>
      </c>
      <c r="Q22" s="21"/>
    </row>
    <row r="23" spans="1:17" x14ac:dyDescent="0.3">
      <c r="A23" s="39" t="str">
        <f>Master!B17</f>
        <v>Bomb</v>
      </c>
      <c r="B23" s="39" t="str">
        <f>Master!D17</f>
        <v>DjowGer</v>
      </c>
      <c r="C23" s="40">
        <f>IF(Master!E17="","",Master!E17)</f>
        <v>3</v>
      </c>
      <c r="D23" s="40" t="s">
        <v>64</v>
      </c>
      <c r="E23" s="40">
        <f>IF(Master!G17="","",Master!G17)</f>
        <v>3</v>
      </c>
    </row>
    <row r="24" spans="1:17" x14ac:dyDescent="0.3">
      <c r="A24" s="39" t="str">
        <f>Master!B18</f>
        <v>Lobo</v>
      </c>
      <c r="B24" s="39" t="str">
        <f>Master!D18</f>
        <v>Playaveli</v>
      </c>
      <c r="C24" s="40">
        <f>IF(Master!E18="","",Master!E18)</f>
        <v>0</v>
      </c>
      <c r="D24" s="40" t="s">
        <v>64</v>
      </c>
      <c r="E24" s="40">
        <f>IF(Master!G18="","",Master!G18)</f>
        <v>5</v>
      </c>
    </row>
    <row r="25" spans="1:17" x14ac:dyDescent="0.3">
      <c r="A25" s="39" t="str">
        <f>Master!B19</f>
        <v>AbelXavier</v>
      </c>
      <c r="B25" s="39" t="str">
        <f>Master!D19</f>
        <v>Bomb</v>
      </c>
      <c r="C25" s="40">
        <f>IF(Master!E19="","",Master!E19)</f>
        <v>1</v>
      </c>
      <c r="D25" s="40" t="s">
        <v>64</v>
      </c>
      <c r="E25" s="40">
        <f>IF(Master!G19="","",Master!G19)</f>
        <v>1</v>
      </c>
    </row>
    <row r="26" spans="1:17" x14ac:dyDescent="0.3">
      <c r="A26" s="39" t="str">
        <f>Master!B20</f>
        <v>bobbiebobras</v>
      </c>
      <c r="B26" s="39" t="str">
        <f>Master!D20</f>
        <v>Lobo</v>
      </c>
      <c r="C26" s="40">
        <f>IF(Master!E20="","",Master!E20)</f>
        <v>3</v>
      </c>
      <c r="D26" s="40" t="s">
        <v>64</v>
      </c>
      <c r="E26" s="40">
        <f>IF(Master!G20="","",Master!G20)</f>
        <v>3</v>
      </c>
    </row>
    <row r="27" spans="1:17" x14ac:dyDescent="0.3">
      <c r="A27" s="39" t="str">
        <f>Master!B21</f>
        <v>DjowGer</v>
      </c>
      <c r="B27" s="39" t="str">
        <f>Master!D21</f>
        <v>Playaveli</v>
      </c>
      <c r="C27" s="40">
        <f>IF(Master!E21="","",Master!E21)</f>
        <v>1</v>
      </c>
      <c r="D27" s="40" t="s">
        <v>64</v>
      </c>
      <c r="E27" s="40">
        <f>IF(Master!G21="","",Master!G21)</f>
        <v>4</v>
      </c>
    </row>
    <row r="28" spans="1:17" x14ac:dyDescent="0.3">
      <c r="A28" s="39" t="str">
        <f>Master!J7</f>
        <v>Lobo</v>
      </c>
      <c r="B28" s="39" t="str">
        <f>Master!L7</f>
        <v>AbelXavier</v>
      </c>
      <c r="C28" s="40">
        <f>IF(Master!M7="","",Master!M7)</f>
        <v>3</v>
      </c>
      <c r="D28" s="40" t="s">
        <v>64</v>
      </c>
      <c r="E28" s="40">
        <f>IF(Master!O7="","",Master!O7)</f>
        <v>1</v>
      </c>
    </row>
    <row r="29" spans="1:17" x14ac:dyDescent="0.3">
      <c r="A29" s="39" t="str">
        <f>Master!J8</f>
        <v>Playaveli</v>
      </c>
      <c r="B29" s="39" t="str">
        <f>Master!L8</f>
        <v>Bomb</v>
      </c>
      <c r="C29" s="40">
        <f>IF(Master!M8="","",Master!M8)</f>
        <v>3</v>
      </c>
      <c r="D29" s="40" t="s">
        <v>64</v>
      </c>
      <c r="E29" s="40">
        <f>IF(Master!O8="","",Master!O8)</f>
        <v>1</v>
      </c>
    </row>
    <row r="30" spans="1:17" x14ac:dyDescent="0.3">
      <c r="A30" s="39" t="str">
        <f>Master!J9</f>
        <v>DjowGer</v>
      </c>
      <c r="B30" s="39" t="str">
        <f>Master!L9</f>
        <v>bobbiebobras</v>
      </c>
      <c r="C30" s="40">
        <f>IF(Master!M9="","",Master!M9)</f>
        <v>2</v>
      </c>
      <c r="D30" s="40" t="s">
        <v>64</v>
      </c>
      <c r="E30" s="40">
        <f>IF(Master!O9="","",Master!O9)</f>
        <v>1</v>
      </c>
    </row>
    <row r="31" spans="1:17" x14ac:dyDescent="0.3">
      <c r="A31" s="39" t="str">
        <f>Master!J10</f>
        <v>AbelXavier</v>
      </c>
      <c r="B31" s="39" t="str">
        <f>Master!L10</f>
        <v>Playaveli</v>
      </c>
      <c r="C31" s="40">
        <f>IF(Master!M10="","",Master!M10)</f>
        <v>0</v>
      </c>
      <c r="D31" s="40" t="s">
        <v>64</v>
      </c>
      <c r="E31" s="40">
        <f>IF(Master!O10="","",Master!O10)</f>
        <v>1</v>
      </c>
    </row>
    <row r="32" spans="1:17" x14ac:dyDescent="0.3">
      <c r="A32" s="39" t="str">
        <f>Master!J11</f>
        <v>Lobo</v>
      </c>
      <c r="B32" s="39" t="str">
        <f>Master!L11</f>
        <v>DjowGer</v>
      </c>
      <c r="C32" s="40">
        <f>IF(Master!M11="","",Master!M11)</f>
        <v>3</v>
      </c>
      <c r="D32" s="40" t="s">
        <v>64</v>
      </c>
      <c r="E32" s="40">
        <f>IF(Master!O11="","",Master!O11)</f>
        <v>0</v>
      </c>
    </row>
    <row r="33" spans="1:5" x14ac:dyDescent="0.3">
      <c r="A33" s="39" t="str">
        <f>Master!J12</f>
        <v>Bomb</v>
      </c>
      <c r="B33" s="39" t="str">
        <f>Master!L12</f>
        <v>bobbiebobras</v>
      </c>
      <c r="C33" s="40">
        <f>IF(Master!M12="","",Master!M12)</f>
        <v>0</v>
      </c>
      <c r="D33" s="40" t="s">
        <v>64</v>
      </c>
      <c r="E33" s="40">
        <f>IF(Master!O12="","",Master!O12)</f>
        <v>0</v>
      </c>
    </row>
    <row r="34" spans="1:5" x14ac:dyDescent="0.3">
      <c r="A34" s="39" t="str">
        <f>Master!J13</f>
        <v>DjowGer</v>
      </c>
      <c r="B34" s="39" t="str">
        <f>Master!L13</f>
        <v>AbelXavier</v>
      </c>
      <c r="C34" s="40">
        <f>IF(Master!M13="","",Master!M13)</f>
        <v>0</v>
      </c>
      <c r="D34" s="40" t="s">
        <v>64</v>
      </c>
      <c r="E34" s="40">
        <f>IF(Master!O13="","",Master!O13)</f>
        <v>2</v>
      </c>
    </row>
    <row r="35" spans="1:5" x14ac:dyDescent="0.3">
      <c r="A35" s="39" t="str">
        <f>Master!J14</f>
        <v>bobbiebobras</v>
      </c>
      <c r="B35" s="39" t="str">
        <f>Master!L14</f>
        <v>Playaveli</v>
      </c>
      <c r="C35" s="40">
        <f>IF(Master!M14="","",Master!M14)</f>
        <v>1</v>
      </c>
      <c r="D35" s="40" t="s">
        <v>64</v>
      </c>
      <c r="E35" s="40">
        <f>IF(Master!O14="","",Master!O14)</f>
        <v>4</v>
      </c>
    </row>
    <row r="36" spans="1:5" x14ac:dyDescent="0.3">
      <c r="A36" s="39" t="str">
        <f>Master!J15</f>
        <v>Bomb</v>
      </c>
      <c r="B36" s="39" t="str">
        <f>Master!L15</f>
        <v>Lobo</v>
      </c>
      <c r="C36" s="40">
        <f>IF(Master!M15="","",Master!M15)</f>
        <v>3</v>
      </c>
      <c r="D36" s="40" t="s">
        <v>64</v>
      </c>
      <c r="E36" s="40">
        <f>IF(Master!O15="","",Master!O15)</f>
        <v>2</v>
      </c>
    </row>
    <row r="37" spans="1:5" x14ac:dyDescent="0.3">
      <c r="A37" s="39" t="str">
        <f>Master!J16</f>
        <v>AbelXavier</v>
      </c>
      <c r="B37" s="39" t="str">
        <f>Master!L16</f>
        <v>bobbiebobras</v>
      </c>
      <c r="C37" s="40">
        <f>IF(Master!M16="","",Master!M16)</f>
        <v>0</v>
      </c>
      <c r="D37" s="40" t="s">
        <v>64</v>
      </c>
      <c r="E37" s="40">
        <f>IF(Master!O16="","",Master!O16)</f>
        <v>3</v>
      </c>
    </row>
    <row r="38" spans="1:5" x14ac:dyDescent="0.3">
      <c r="A38" s="39" t="str">
        <f>Master!J17</f>
        <v>DjowGer</v>
      </c>
      <c r="B38" s="39" t="str">
        <f>Master!L17</f>
        <v>Bomb</v>
      </c>
      <c r="C38" s="40">
        <f>IF(Master!M17="","",Master!M17)</f>
        <v>0</v>
      </c>
      <c r="D38" s="40" t="s">
        <v>64</v>
      </c>
      <c r="E38" s="40">
        <f>IF(Master!O17="","",Master!O17)</f>
        <v>5</v>
      </c>
    </row>
    <row r="39" spans="1:5" x14ac:dyDescent="0.3">
      <c r="A39" s="39" t="str">
        <f>Master!J18</f>
        <v>Playaveli</v>
      </c>
      <c r="B39" s="39" t="str">
        <f>Master!L18</f>
        <v>Lobo</v>
      </c>
      <c r="C39" s="40">
        <f>IF(Master!M18="","",Master!M18)</f>
        <v>3</v>
      </c>
      <c r="D39" s="40" t="s">
        <v>64</v>
      </c>
      <c r="E39" s="40">
        <f>IF(Master!O18="","",Master!O18)</f>
        <v>2</v>
      </c>
    </row>
    <row r="40" spans="1:5" x14ac:dyDescent="0.3">
      <c r="A40" s="39" t="str">
        <f>Master!J19</f>
        <v>Bomb</v>
      </c>
      <c r="B40" s="39" t="str">
        <f>Master!L19</f>
        <v>AbelXavier</v>
      </c>
      <c r="C40" s="40">
        <f>IF(Master!M19="","",Master!M19)</f>
        <v>1</v>
      </c>
      <c r="D40" s="40" t="s">
        <v>64</v>
      </c>
      <c r="E40" s="40">
        <f>IF(Master!O19="","",Master!O19)</f>
        <v>1</v>
      </c>
    </row>
    <row r="41" spans="1:5" x14ac:dyDescent="0.3">
      <c r="A41" s="39" t="str">
        <f>Master!J20</f>
        <v>Lobo</v>
      </c>
      <c r="B41" s="39" t="str">
        <f>Master!L20</f>
        <v>bobbiebobras</v>
      </c>
      <c r="C41" s="40">
        <f>IF(Master!M20="","",Master!M20)</f>
        <v>1</v>
      </c>
      <c r="D41" s="40" t="s">
        <v>64</v>
      </c>
      <c r="E41" s="40">
        <f>IF(Master!O20="","",Master!O20)</f>
        <v>1</v>
      </c>
    </row>
    <row r="42" spans="1:5" x14ac:dyDescent="0.3">
      <c r="A42" s="39" t="str">
        <f>Master!J21</f>
        <v>Playaveli</v>
      </c>
      <c r="B42" s="39" t="str">
        <f>Master!L21</f>
        <v>DjowGer</v>
      </c>
      <c r="C42" s="40">
        <f>IF(Master!M21="","",Master!M21)</f>
        <v>4</v>
      </c>
      <c r="D42" s="40" t="s">
        <v>64</v>
      </c>
      <c r="E42" s="40">
        <f>IF(Master!O21="","",Master!O21)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21"/>
  <sheetViews>
    <sheetView showGridLines="0" workbookViewId="0">
      <selection activeCell="N25" sqref="N25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'Super+'!E8</f>
        <v>Bromberg</v>
      </c>
      <c r="C2" s="275"/>
      <c r="D2" s="276"/>
      <c r="E2" s="283" t="str">
        <f>IFERROR('Super+'!D2,"-")</f>
        <v>Super</v>
      </c>
      <c r="F2" s="284"/>
      <c r="G2" s="284"/>
      <c r="H2" s="284"/>
      <c r="I2" s="285"/>
      <c r="J2" s="274" t="str">
        <f>'Super+'!E11</f>
        <v>ElMichaJ</v>
      </c>
      <c r="K2" s="275"/>
      <c r="L2" s="276"/>
    </row>
    <row r="3" spans="1:15" ht="19.5" customHeight="1" thickBot="1" x14ac:dyDescent="0.35">
      <c r="A3" s="6"/>
      <c r="B3" s="274" t="str">
        <f>'Super+'!E9</f>
        <v>Klaris</v>
      </c>
      <c r="C3" s="275"/>
      <c r="D3" s="276"/>
      <c r="E3" s="283"/>
      <c r="F3" s="284"/>
      <c r="G3" s="284"/>
      <c r="H3" s="284"/>
      <c r="I3" s="285"/>
      <c r="J3" s="274" t="str">
        <f>'Super+'!E12</f>
        <v>Hawkz</v>
      </c>
      <c r="K3" s="275"/>
      <c r="L3" s="276"/>
    </row>
    <row r="4" spans="1:15" ht="19.5" customHeight="1" thickBot="1" x14ac:dyDescent="0.35">
      <c r="A4" s="6"/>
      <c r="B4" s="274" t="str">
        <f>'Super+'!E10</f>
        <v>Blazej</v>
      </c>
      <c r="C4" s="275"/>
      <c r="D4" s="276"/>
      <c r="E4" s="6"/>
      <c r="F4" s="6"/>
      <c r="G4" s="6"/>
      <c r="H4" s="6"/>
      <c r="I4" s="6"/>
      <c r="J4" s="274" t="str">
        <f>'Super+'!E13</f>
        <v>Andib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4" t="s">
        <v>18</v>
      </c>
      <c r="B6" s="44" t="s">
        <v>15</v>
      </c>
      <c r="C6" s="44"/>
      <c r="D6" s="44" t="s">
        <v>16</v>
      </c>
      <c r="E6" s="273" t="s">
        <v>17</v>
      </c>
      <c r="F6" s="273"/>
      <c r="G6" s="273"/>
      <c r="H6" s="3"/>
      <c r="I6" s="44" t="s">
        <v>18</v>
      </c>
      <c r="J6" s="44" t="s">
        <v>15</v>
      </c>
      <c r="K6" s="44"/>
      <c r="L6" s="44" t="s">
        <v>16</v>
      </c>
      <c r="M6" s="273" t="s">
        <v>17</v>
      </c>
      <c r="N6" s="273"/>
      <c r="O6" s="273"/>
    </row>
    <row r="7" spans="1:15" ht="18" customHeight="1" thickBot="1" x14ac:dyDescent="0.35">
      <c r="A7" s="4" t="s">
        <v>0</v>
      </c>
      <c r="B7" s="4" t="str">
        <f>IFERROR(VLOOKUP('Super+'!C16,'Super+'!$D$8:$E$13,2,0),"-")</f>
        <v>Andib</v>
      </c>
      <c r="C7" s="5" t="s">
        <v>19</v>
      </c>
      <c r="D7" s="4" t="str">
        <f>IFERROR(VLOOKUP('Super+'!E16,'Super+'!$D$8:$E$13,2,0),"-")</f>
        <v>Blazej</v>
      </c>
      <c r="E7" s="4">
        <v>0</v>
      </c>
      <c r="F7" s="5" t="s">
        <v>19</v>
      </c>
      <c r="G7" s="4">
        <v>2</v>
      </c>
      <c r="H7" s="6"/>
      <c r="I7" s="4" t="s">
        <v>20</v>
      </c>
      <c r="J7" s="4" t="str">
        <f>IFERROR(VLOOKUP('Super+'!H16,'Super+'!$D$8:$E$13,2,0),"-")</f>
        <v>Blazej</v>
      </c>
      <c r="K7" s="5" t="s">
        <v>19</v>
      </c>
      <c r="L7" s="4" t="str">
        <f>IFERROR(VLOOKUP('Super+'!J16,'Super+'!$D$8:$E$13,2,0),"-")</f>
        <v>Andib</v>
      </c>
      <c r="M7" s="4">
        <v>2</v>
      </c>
      <c r="N7" s="5" t="s">
        <v>19</v>
      </c>
      <c r="O7" s="4">
        <v>0</v>
      </c>
    </row>
    <row r="8" spans="1:15" ht="18" customHeight="1" thickBot="1" x14ac:dyDescent="0.35">
      <c r="A8" s="4" t="s">
        <v>1</v>
      </c>
      <c r="B8" s="4" t="str">
        <f>IFERROR(VLOOKUP('Super+'!C17,'Super+'!$D$8:$E$13,2,0),"-")</f>
        <v>Klaris</v>
      </c>
      <c r="C8" s="5" t="s">
        <v>19</v>
      </c>
      <c r="D8" s="4" t="str">
        <f>IFERROR(VLOOKUP('Super+'!E17,'Super+'!$D$8:$E$13,2,0),"-")</f>
        <v>Hawkz</v>
      </c>
      <c r="E8" s="4">
        <v>0</v>
      </c>
      <c r="F8" s="5" t="s">
        <v>19</v>
      </c>
      <c r="G8" s="4">
        <v>3</v>
      </c>
      <c r="H8" s="6"/>
      <c r="I8" s="4" t="s">
        <v>21</v>
      </c>
      <c r="J8" s="4" t="str">
        <f>IFERROR(VLOOKUP('Super+'!H17,'Super+'!$D$8:$E$13,2,0),"-")</f>
        <v>Hawkz</v>
      </c>
      <c r="K8" s="5" t="s">
        <v>19</v>
      </c>
      <c r="L8" s="4" t="str">
        <f>IFERROR(VLOOKUP('Super+'!J17,'Super+'!$D$8:$E$13,2,0),"-")</f>
        <v>Klaris</v>
      </c>
      <c r="M8" s="4">
        <v>3</v>
      </c>
      <c r="N8" s="5" t="s">
        <v>19</v>
      </c>
      <c r="O8" s="4">
        <v>1</v>
      </c>
    </row>
    <row r="9" spans="1:15" ht="18" customHeight="1" thickBot="1" x14ac:dyDescent="0.35">
      <c r="A9" s="4" t="s">
        <v>2</v>
      </c>
      <c r="B9" s="4" t="str">
        <f>IFERROR(VLOOKUP('Super+'!C18,'Super+'!$D$8:$E$13,2,0),"-")</f>
        <v>ElMichaJ</v>
      </c>
      <c r="C9" s="5" t="s">
        <v>19</v>
      </c>
      <c r="D9" s="4" t="str">
        <f>IFERROR(VLOOKUP('Super+'!E18,'Super+'!$D$8:$E$13,2,0),"-")</f>
        <v>Bromberg</v>
      </c>
      <c r="E9" s="4">
        <v>6</v>
      </c>
      <c r="F9" s="5" t="s">
        <v>19</v>
      </c>
      <c r="G9" s="4">
        <v>4</v>
      </c>
      <c r="H9" s="6"/>
      <c r="I9" s="4" t="s">
        <v>22</v>
      </c>
      <c r="J9" s="4" t="str">
        <f>IFERROR(VLOOKUP('Super+'!H18,'Super+'!$D$8:$E$13,2,0),"-")</f>
        <v>Bromberg</v>
      </c>
      <c r="K9" s="5" t="s">
        <v>19</v>
      </c>
      <c r="L9" s="4" t="str">
        <f>IFERROR(VLOOKUP('Super+'!J18,'Super+'!$D$8:$E$13,2,0),"-")</f>
        <v>ElMichaJ</v>
      </c>
      <c r="M9" s="4">
        <v>0</v>
      </c>
      <c r="N9" s="5" t="s">
        <v>19</v>
      </c>
      <c r="O9" s="4">
        <v>4</v>
      </c>
    </row>
    <row r="10" spans="1:15" ht="18" customHeight="1" thickBot="1" x14ac:dyDescent="0.35">
      <c r="A10" s="4" t="s">
        <v>3</v>
      </c>
      <c r="B10" s="4" t="str">
        <f>IFERROR(VLOOKUP('Super+'!C19,'Super+'!$D$8:$E$13,2,0),"-")</f>
        <v>Hawkz</v>
      </c>
      <c r="C10" s="5" t="s">
        <v>19</v>
      </c>
      <c r="D10" s="4" t="str">
        <f>IFERROR(VLOOKUP('Super+'!E19,'Super+'!$D$8:$E$13,2,0),"-")</f>
        <v>Andib</v>
      </c>
      <c r="E10" s="4">
        <v>0</v>
      </c>
      <c r="F10" s="5" t="s">
        <v>19</v>
      </c>
      <c r="G10" s="4">
        <v>4</v>
      </c>
      <c r="H10" s="6"/>
      <c r="I10" s="4" t="s">
        <v>23</v>
      </c>
      <c r="J10" s="4" t="str">
        <f>IFERROR(VLOOKUP('Super+'!H19,'Super+'!$D$8:$E$13,2,0),"-")</f>
        <v>Andib</v>
      </c>
      <c r="K10" s="5" t="s">
        <v>19</v>
      </c>
      <c r="L10" s="4" t="str">
        <f>IFERROR(VLOOKUP('Super+'!J19,'Super+'!$D$8:$E$13,2,0),"-")</f>
        <v>Hawkz</v>
      </c>
      <c r="M10" s="4">
        <v>3</v>
      </c>
      <c r="N10" s="5" t="s">
        <v>19</v>
      </c>
      <c r="O10" s="4">
        <v>2</v>
      </c>
    </row>
    <row r="11" spans="1:15" ht="18" customHeight="1" thickBot="1" x14ac:dyDescent="0.35">
      <c r="A11" s="4" t="s">
        <v>4</v>
      </c>
      <c r="B11" s="4" t="str">
        <f>IFERROR(VLOOKUP('Super+'!C20,'Super+'!$D$8:$E$13,2,0),"-")</f>
        <v>Bromberg</v>
      </c>
      <c r="C11" s="5" t="s">
        <v>19</v>
      </c>
      <c r="D11" s="4" t="str">
        <f>IFERROR(VLOOKUP('Super+'!E20,'Super+'!$D$8:$E$13,2,0),"-")</f>
        <v>Blazej</v>
      </c>
      <c r="E11" s="4">
        <v>1</v>
      </c>
      <c r="F11" s="5" t="s">
        <v>19</v>
      </c>
      <c r="G11" s="4">
        <v>2</v>
      </c>
      <c r="H11" s="6"/>
      <c r="I11" s="4" t="s">
        <v>24</v>
      </c>
      <c r="J11" s="4" t="str">
        <f>IFERROR(VLOOKUP('Super+'!H20,'Super+'!$D$8:$E$13,2,0),"-")</f>
        <v>Blazej</v>
      </c>
      <c r="K11" s="5" t="s">
        <v>19</v>
      </c>
      <c r="L11" s="4" t="str">
        <f>IFERROR(VLOOKUP('Super+'!J20,'Super+'!$D$8:$E$13,2,0),"-")</f>
        <v>Bromberg</v>
      </c>
      <c r="M11" s="4">
        <v>3</v>
      </c>
      <c r="N11" s="5" t="s">
        <v>19</v>
      </c>
      <c r="O11" s="4">
        <v>1</v>
      </c>
    </row>
    <row r="12" spans="1:15" ht="18" customHeight="1" thickBot="1" x14ac:dyDescent="0.35">
      <c r="A12" s="4" t="s">
        <v>5</v>
      </c>
      <c r="B12" s="4" t="str">
        <f>IFERROR(VLOOKUP('Super+'!C21,'Super+'!$D$8:$E$13,2,0),"-")</f>
        <v>ElMichaJ</v>
      </c>
      <c r="C12" s="5" t="s">
        <v>19</v>
      </c>
      <c r="D12" s="4" t="str">
        <f>IFERROR(VLOOKUP('Super+'!E21,'Super+'!$D$8:$E$13,2,0),"-")</f>
        <v>Klaris</v>
      </c>
      <c r="E12" s="4">
        <v>2</v>
      </c>
      <c r="F12" s="5" t="s">
        <v>19</v>
      </c>
      <c r="G12" s="4">
        <v>1</v>
      </c>
      <c r="H12" s="6"/>
      <c r="I12" s="4" t="s">
        <v>25</v>
      </c>
      <c r="J12" s="4" t="str">
        <f>IFERROR(VLOOKUP('Super+'!H21,'Super+'!$D$8:$E$13,2,0),"-")</f>
        <v>Klaris</v>
      </c>
      <c r="K12" s="5" t="s">
        <v>19</v>
      </c>
      <c r="L12" s="4" t="str">
        <f>IFERROR(VLOOKUP('Super+'!J21,'Super+'!$D$8:$E$13,2,0),"-")</f>
        <v>ElMichaJ</v>
      </c>
      <c r="M12" s="4">
        <v>1</v>
      </c>
      <c r="N12" s="5" t="s">
        <v>19</v>
      </c>
      <c r="O12" s="4">
        <v>4</v>
      </c>
    </row>
    <row r="13" spans="1:15" ht="18" customHeight="1" thickBot="1" x14ac:dyDescent="0.35">
      <c r="A13" s="4" t="s">
        <v>6</v>
      </c>
      <c r="B13" s="4" t="str">
        <f>IFERROR(VLOOKUP('Super+'!C22,'Super+'!$D$8:$E$13,2,0),"-")</f>
        <v>Andib</v>
      </c>
      <c r="C13" s="5" t="s">
        <v>19</v>
      </c>
      <c r="D13" s="4" t="str">
        <f>IFERROR(VLOOKUP('Super+'!E22,'Super+'!$D$8:$E$13,2,0),"-")</f>
        <v>Bromberg</v>
      </c>
      <c r="E13" s="4">
        <v>5</v>
      </c>
      <c r="F13" s="5" t="s">
        <v>19</v>
      </c>
      <c r="G13" s="4">
        <v>2</v>
      </c>
      <c r="H13" s="6"/>
      <c r="I13" s="4" t="s">
        <v>26</v>
      </c>
      <c r="J13" s="4" t="str">
        <f>IFERROR(VLOOKUP('Super+'!H22,'Super+'!$D$8:$E$13,2,0),"-")</f>
        <v>Bromberg</v>
      </c>
      <c r="K13" s="5" t="s">
        <v>19</v>
      </c>
      <c r="L13" s="4" t="str">
        <f>IFERROR(VLOOKUP('Super+'!J22,'Super+'!$D$8:$E$13,2,0),"-")</f>
        <v>Andib</v>
      </c>
      <c r="M13" s="4">
        <v>1</v>
      </c>
      <c r="N13" s="5" t="s">
        <v>19</v>
      </c>
      <c r="O13" s="4">
        <v>4</v>
      </c>
    </row>
    <row r="14" spans="1:15" ht="18" customHeight="1" thickBot="1" x14ac:dyDescent="0.35">
      <c r="A14" s="4" t="s">
        <v>7</v>
      </c>
      <c r="B14" s="4" t="str">
        <f>IFERROR(VLOOKUP('Super+'!C23,'Super+'!$D$8:$E$13,2,0),"-")</f>
        <v>Hawkz</v>
      </c>
      <c r="C14" s="5" t="s">
        <v>19</v>
      </c>
      <c r="D14" s="4" t="str">
        <f>IFERROR(VLOOKUP('Super+'!E23,'Super+'!$D$8:$E$13,2,0),"-")</f>
        <v>ElMichaJ</v>
      </c>
      <c r="E14" s="4">
        <v>2</v>
      </c>
      <c r="F14" s="5" t="s">
        <v>19</v>
      </c>
      <c r="G14" s="4">
        <v>2</v>
      </c>
      <c r="H14" s="6"/>
      <c r="I14" s="4" t="s">
        <v>27</v>
      </c>
      <c r="J14" s="4" t="str">
        <f>IFERROR(VLOOKUP('Super+'!H23,'Super+'!$D$8:$E$13,2,0),"-")</f>
        <v>ElMichaJ</v>
      </c>
      <c r="K14" s="5" t="s">
        <v>19</v>
      </c>
      <c r="L14" s="4" t="str">
        <f>IFERROR(VLOOKUP('Super+'!J23,'Super+'!$D$8:$E$13,2,0),"-")</f>
        <v>Hawkz</v>
      </c>
      <c r="M14" s="4">
        <v>1</v>
      </c>
      <c r="N14" s="5" t="s">
        <v>19</v>
      </c>
      <c r="O14" s="4">
        <v>2</v>
      </c>
    </row>
    <row r="15" spans="1:15" ht="18" customHeight="1" thickBot="1" x14ac:dyDescent="0.35">
      <c r="A15" s="4" t="s">
        <v>8</v>
      </c>
      <c r="B15" s="4" t="str">
        <f>IFERROR(VLOOKUP('Super+'!C24,'Super+'!$D$8:$E$13,2,0),"-")</f>
        <v>Blazej</v>
      </c>
      <c r="C15" s="5" t="s">
        <v>19</v>
      </c>
      <c r="D15" s="4" t="str">
        <f>IFERROR(VLOOKUP('Super+'!E24,'Super+'!$D$8:$E$13,2,0),"-")</f>
        <v>Klaris</v>
      </c>
      <c r="E15" s="4">
        <v>2</v>
      </c>
      <c r="F15" s="5" t="s">
        <v>19</v>
      </c>
      <c r="G15" s="4">
        <v>1</v>
      </c>
      <c r="H15" s="6"/>
      <c r="I15" s="4" t="s">
        <v>28</v>
      </c>
      <c r="J15" s="4" t="str">
        <f>IFERROR(VLOOKUP('Super+'!H24,'Super+'!$D$8:$E$13,2,0),"-")</f>
        <v>Klaris</v>
      </c>
      <c r="K15" s="5" t="s">
        <v>19</v>
      </c>
      <c r="L15" s="4" t="str">
        <f>IFERROR(VLOOKUP('Super+'!J24,'Super+'!$D$8:$E$13,2,0),"-")</f>
        <v>Blazej</v>
      </c>
      <c r="M15" s="4">
        <v>1</v>
      </c>
      <c r="N15" s="5" t="s">
        <v>19</v>
      </c>
      <c r="O15" s="4">
        <v>4</v>
      </c>
    </row>
    <row r="16" spans="1:15" ht="18" customHeight="1" thickBot="1" x14ac:dyDescent="0.35">
      <c r="A16" s="4" t="s">
        <v>9</v>
      </c>
      <c r="B16" s="4" t="str">
        <f>IFERROR(VLOOKUP('Super+'!C25,'Super+'!$D$8:$E$13,2,0),"-")</f>
        <v>ElMichaJ</v>
      </c>
      <c r="C16" s="5" t="s">
        <v>19</v>
      </c>
      <c r="D16" s="4" t="str">
        <f>IFERROR(VLOOKUP('Super+'!E25,'Super+'!$D$8:$E$13,2,0),"-")</f>
        <v>Andib</v>
      </c>
      <c r="E16" s="4">
        <v>3</v>
      </c>
      <c r="F16" s="5" t="s">
        <v>19</v>
      </c>
      <c r="G16" s="4">
        <v>1</v>
      </c>
      <c r="H16" s="6"/>
      <c r="I16" s="4" t="s">
        <v>29</v>
      </c>
      <c r="J16" s="4" t="str">
        <f>IFERROR(VLOOKUP('Super+'!H25,'Super+'!$D$8:$E$13,2,0),"-")</f>
        <v>Andib</v>
      </c>
      <c r="K16" s="5" t="s">
        <v>19</v>
      </c>
      <c r="L16" s="4" t="str">
        <f>IFERROR(VLOOKUP('Super+'!J25,'Super+'!$D$8:$E$13,2,0),"-")</f>
        <v>ElMichaJ</v>
      </c>
      <c r="M16" s="4">
        <v>1</v>
      </c>
      <c r="N16" s="5" t="s">
        <v>19</v>
      </c>
      <c r="O16" s="4">
        <v>0</v>
      </c>
    </row>
    <row r="17" spans="1:15" ht="18" customHeight="1" thickBot="1" x14ac:dyDescent="0.35">
      <c r="A17" s="4" t="s">
        <v>10</v>
      </c>
      <c r="B17" s="4" t="str">
        <f>IFERROR(VLOOKUP('Super+'!C26,'Super+'!$D$8:$E$13,2,0),"-")</f>
        <v>Klaris</v>
      </c>
      <c r="C17" s="5" t="s">
        <v>19</v>
      </c>
      <c r="D17" s="4" t="str">
        <f>IFERROR(VLOOKUP('Super+'!E26,'Super+'!$D$8:$E$13,2,0),"-")</f>
        <v>Bromberg</v>
      </c>
      <c r="E17" s="4">
        <v>1</v>
      </c>
      <c r="F17" s="5" t="s">
        <v>19</v>
      </c>
      <c r="G17" s="4">
        <v>1</v>
      </c>
      <c r="H17" s="6"/>
      <c r="I17" s="4" t="s">
        <v>30</v>
      </c>
      <c r="J17" s="4" t="str">
        <f>IFERROR(VLOOKUP('Super+'!H26,'Super+'!$D$8:$E$13,2,0),"-")</f>
        <v>Bromberg</v>
      </c>
      <c r="K17" s="5" t="s">
        <v>19</v>
      </c>
      <c r="L17" s="4" t="str">
        <f>IFERROR(VLOOKUP('Super+'!J26,'Super+'!$D$8:$E$13,2,0),"-")</f>
        <v>Klaris</v>
      </c>
      <c r="M17" s="4">
        <v>3</v>
      </c>
      <c r="N17" s="5" t="s">
        <v>19</v>
      </c>
      <c r="O17" s="4">
        <v>3</v>
      </c>
    </row>
    <row r="18" spans="1:15" ht="18" customHeight="1" thickBot="1" x14ac:dyDescent="0.35">
      <c r="A18" s="4" t="s">
        <v>11</v>
      </c>
      <c r="B18" s="4" t="str">
        <f>IFERROR(VLOOKUP('Super+'!C27,'Super+'!$D$8:$E$13,2,0),"-")</f>
        <v>Blazej</v>
      </c>
      <c r="C18" s="5" t="s">
        <v>19</v>
      </c>
      <c r="D18" s="4" t="str">
        <f>IFERROR(VLOOKUP('Super+'!E27,'Super+'!$D$8:$E$13,2,0),"-")</f>
        <v>Hawkz</v>
      </c>
      <c r="E18" s="4">
        <v>3</v>
      </c>
      <c r="F18" s="5" t="s">
        <v>19</v>
      </c>
      <c r="G18" s="4">
        <v>0</v>
      </c>
      <c r="H18" s="6"/>
      <c r="I18" s="4" t="s">
        <v>31</v>
      </c>
      <c r="J18" s="4" t="str">
        <f>IFERROR(VLOOKUP('Super+'!H27,'Super+'!$D$8:$E$13,2,0),"-")</f>
        <v>Hawkz</v>
      </c>
      <c r="K18" s="5" t="s">
        <v>19</v>
      </c>
      <c r="L18" s="4" t="str">
        <f>IFERROR(VLOOKUP('Super+'!J27,'Super+'!$D$8:$E$13,2,0),"-")</f>
        <v>Blazej</v>
      </c>
      <c r="M18" s="4">
        <v>1</v>
      </c>
      <c r="N18" s="5" t="s">
        <v>19</v>
      </c>
      <c r="O18" s="4">
        <v>1</v>
      </c>
    </row>
    <row r="19" spans="1:15" ht="18" customHeight="1" thickBot="1" x14ac:dyDescent="0.35">
      <c r="A19" s="4" t="s">
        <v>12</v>
      </c>
      <c r="B19" s="4" t="str">
        <f>IFERROR(VLOOKUP('Super+'!C28,'Super+'!$D$8:$E$13,2,0),"-")</f>
        <v>Andib</v>
      </c>
      <c r="C19" s="5" t="s">
        <v>19</v>
      </c>
      <c r="D19" s="4" t="str">
        <f>IFERROR(VLOOKUP('Super+'!E28,'Super+'!$D$8:$E$13,2,0),"-")</f>
        <v>Klaris</v>
      </c>
      <c r="E19" s="4">
        <v>1</v>
      </c>
      <c r="F19" s="5" t="s">
        <v>19</v>
      </c>
      <c r="G19" s="4">
        <v>2</v>
      </c>
      <c r="H19" s="6"/>
      <c r="I19" s="4" t="s">
        <v>32</v>
      </c>
      <c r="J19" s="4" t="str">
        <f>IFERROR(VLOOKUP('Super+'!H28,'Super+'!$D$8:$E$13,2,0),"-")</f>
        <v>Klaris</v>
      </c>
      <c r="K19" s="5" t="s">
        <v>19</v>
      </c>
      <c r="L19" s="4" t="str">
        <f>IFERROR(VLOOKUP('Super+'!J28,'Super+'!$D$8:$E$13,2,0),"-")</f>
        <v>Andib</v>
      </c>
      <c r="M19" s="4">
        <v>3</v>
      </c>
      <c r="N19" s="5" t="s">
        <v>19</v>
      </c>
      <c r="O19" s="4">
        <v>4</v>
      </c>
    </row>
    <row r="20" spans="1:15" ht="18" customHeight="1" thickBot="1" x14ac:dyDescent="0.35">
      <c r="A20" s="4" t="s">
        <v>13</v>
      </c>
      <c r="B20" s="4" t="str">
        <f>IFERROR(VLOOKUP('Super+'!C29,'Super+'!$D$8:$E$13,2,0),"-")</f>
        <v>ElMichaJ</v>
      </c>
      <c r="C20" s="5" t="s">
        <v>19</v>
      </c>
      <c r="D20" s="4" t="str">
        <f>IFERROR(VLOOKUP('Super+'!E29,'Super+'!$D$8:$E$13,2,0),"-")</f>
        <v>Blazej</v>
      </c>
      <c r="E20" s="4">
        <v>1</v>
      </c>
      <c r="F20" s="5" t="s">
        <v>19</v>
      </c>
      <c r="G20" s="4">
        <v>2</v>
      </c>
      <c r="H20" s="6"/>
      <c r="I20" s="4" t="s">
        <v>33</v>
      </c>
      <c r="J20" s="4" t="str">
        <f>IFERROR(VLOOKUP('Super+'!H29,'Super+'!$D$8:$E$13,2,0),"-")</f>
        <v>Blazej</v>
      </c>
      <c r="K20" s="5" t="s">
        <v>19</v>
      </c>
      <c r="L20" s="4" t="str">
        <f>IFERROR(VLOOKUP('Super+'!J29,'Super+'!$D$8:$E$13,2,0),"-")</f>
        <v>ElMichaJ</v>
      </c>
      <c r="M20" s="4">
        <v>3</v>
      </c>
      <c r="N20" s="5" t="s">
        <v>19</v>
      </c>
      <c r="O20" s="4">
        <v>1</v>
      </c>
    </row>
    <row r="21" spans="1:15" ht="18" customHeight="1" thickBot="1" x14ac:dyDescent="0.35">
      <c r="A21" s="4" t="s">
        <v>14</v>
      </c>
      <c r="B21" s="4" t="str">
        <f>IFERROR(VLOOKUP('Super+'!C30,'Super+'!$D$8:$E$13,2,0),"-")</f>
        <v>Bromberg</v>
      </c>
      <c r="C21" s="5" t="s">
        <v>19</v>
      </c>
      <c r="D21" s="4" t="str">
        <f>IFERROR(VLOOKUP('Super+'!E30,'Super+'!$D$8:$E$13,2,0),"-")</f>
        <v>Hawkz</v>
      </c>
      <c r="E21" s="4">
        <v>0</v>
      </c>
      <c r="F21" s="5" t="s">
        <v>19</v>
      </c>
      <c r="G21" s="4">
        <v>2</v>
      </c>
      <c r="H21" s="6"/>
      <c r="I21" s="4" t="s">
        <v>34</v>
      </c>
      <c r="J21" s="4" t="str">
        <f>IFERROR(VLOOKUP('Super+'!H30,'Super+'!$D$8:$E$13,2,0),"-")</f>
        <v>Hawkz</v>
      </c>
      <c r="K21" s="5" t="s">
        <v>19</v>
      </c>
      <c r="L21" s="4" t="str">
        <f>IFERROR(VLOOKUP('Super+'!J30,'Super+'!$D$8:$E$13,2,0),"-")</f>
        <v>Bromberg</v>
      </c>
      <c r="M21" s="4">
        <v>2</v>
      </c>
      <c r="N21" s="5" t="s">
        <v>19</v>
      </c>
      <c r="O21" s="4">
        <v>1</v>
      </c>
    </row>
  </sheetData>
  <mergeCells count="11">
    <mergeCell ref="B1:D1"/>
    <mergeCell ref="J1:L1"/>
    <mergeCell ref="E2:I3"/>
    <mergeCell ref="E6:G6"/>
    <mergeCell ref="M6:O6"/>
    <mergeCell ref="B2:D2"/>
    <mergeCell ref="B3:D3"/>
    <mergeCell ref="B4:D4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J30"/>
  <sheetViews>
    <sheetView showGridLines="0" workbookViewId="0">
      <selection activeCell="N25" sqref="N25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68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6" t="s">
        <v>35</v>
      </c>
      <c r="F7" s="296"/>
      <c r="G7" s="296" t="s">
        <v>36</v>
      </c>
      <c r="H7" s="297"/>
      <c r="I7" s="10"/>
    </row>
    <row r="8" spans="2:10" x14ac:dyDescent="0.3">
      <c r="C8" s="8"/>
      <c r="D8" s="15">
        <v>1</v>
      </c>
      <c r="E8" s="267" t="str">
        <f>IF('Gr. A res'!T12&lt;84,"-",Table!C12)</f>
        <v>Bromberg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tr">
        <f>IF('Gr. B res'!T10&lt;60,"-",Table!N12)</f>
        <v>Klaris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tr">
        <f>IF('Gr. C res'!T10&lt;60,"-",Table!C23)</f>
        <v>Blazej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tr">
        <f>IF('Gr. D res'!T10&lt;60,"-",Table!N23)</f>
        <v>ElMichaJ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tr">
        <f>IF('Gr. E res'!T10&lt;60,"-",Table!C33)</f>
        <v>Hawkz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tr">
        <f>IF('Gr. F res'!T10&lt;60,"-",Table!N33)</f>
        <v>Andib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44" t="s">
        <v>18</v>
      </c>
      <c r="C15" s="44" t="s">
        <v>15</v>
      </c>
      <c r="D15" s="44"/>
      <c r="E15" s="44" t="s">
        <v>16</v>
      </c>
      <c r="F15" s="3"/>
      <c r="G15" s="44" t="s">
        <v>18</v>
      </c>
      <c r="H15" s="44" t="s">
        <v>15</v>
      </c>
      <c r="I15" s="44"/>
      <c r="J15" s="44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9:H9"/>
    <mergeCell ref="E8:H8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topLeftCell="G1" workbookViewId="0">
      <selection activeCell="AA3" sqref="AA3:AA8"/>
    </sheetView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'Super+'!D2</f>
        <v>Super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Bromberg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0</v>
      </c>
      <c r="V3" s="21">
        <f t="array" ref="V3">SUM((home=S3)*(homescore=visitorscore)*ISNUMBER(visitorscore),(visitor=S3)*(visitorscore=homescore)*ISNUMBER(homescore))</f>
        <v>2</v>
      </c>
      <c r="W3" s="21">
        <f t="array" ref="W3">SUM((home=S3)*(homescore&lt;visitorscore),(visitor=S3)*(visitorscore&lt;homescore))</f>
        <v>8</v>
      </c>
      <c r="X3" s="32">
        <f t="shared" ref="X3" si="1">SUMIF(home,S3,homescore)+SUMIF(visitor,S3,visitorscore)</f>
        <v>14</v>
      </c>
      <c r="Y3" s="33">
        <f t="shared" ref="Y3" si="2">SUMIF(home,S3,visitorscore)+SUMIF(visitor,S3,homescore)</f>
        <v>32</v>
      </c>
      <c r="Z3" s="34">
        <f>X3-Y3</f>
        <v>-18</v>
      </c>
      <c r="AA3" s="32">
        <f>U3*3+V3</f>
        <v>2</v>
      </c>
      <c r="AB3" s="20">
        <f>X3+Z3*10000+AA3*1000000000</f>
        <v>1999820014</v>
      </c>
    </row>
    <row r="4" spans="1:28" x14ac:dyDescent="0.3">
      <c r="A4" s="35" t="str">
        <f>'Super+'!E8</f>
        <v>Bromberg</v>
      </c>
      <c r="B4" s="19"/>
      <c r="C4" s="19"/>
      <c r="S4" s="36" t="str">
        <f t="shared" si="0"/>
        <v>Klaris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1</v>
      </c>
      <c r="V4" s="21">
        <f t="array" ref="V4">SUM((home=S4)*(homescore=visitorscore)*ISNUMBER(visitorscore),(visitor=S4)*(visitorscore=homescore)*ISNUMBER(homescore))</f>
        <v>2</v>
      </c>
      <c r="W4" s="21">
        <f t="array" ref="W4">SUM((home=S4)*(homescore&lt;visitorscore),(visitor=S4)*(visitorscore&lt;homescore))</f>
        <v>7</v>
      </c>
      <c r="X4" s="32">
        <f t="shared" ref="X4" si="3">SUMIF(home,S4,homescore)+SUMIF(visitor,S4,visitorscore)</f>
        <v>14</v>
      </c>
      <c r="Y4" s="33">
        <f t="shared" ref="Y4" si="4">SUMIF(home,S4,visitorscore)+SUMIF(visitor,S4,homescore)</f>
        <v>27</v>
      </c>
      <c r="Z4" s="34">
        <f t="shared" ref="Z4:Z8" si="5">X4-Y4</f>
        <v>-13</v>
      </c>
      <c r="AA4" s="32">
        <f t="shared" ref="AA4:AA8" si="6">U4*3+V4</f>
        <v>5</v>
      </c>
      <c r="AB4" s="20">
        <f t="shared" ref="AB4:AB8" si="7">X4+Z4*10000+AA4*1000000000</f>
        <v>4999870014</v>
      </c>
    </row>
    <row r="5" spans="1:28" x14ac:dyDescent="0.3">
      <c r="A5" s="35" t="str">
        <f>'Super+'!E9</f>
        <v>Klaris</v>
      </c>
      <c r="B5" s="19"/>
      <c r="C5" s="19"/>
      <c r="S5" s="36" t="str">
        <f t="shared" si="0"/>
        <v>Blazej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9</v>
      </c>
      <c r="V5" s="21">
        <f t="array" ref="V5">SUM((home=S5)*(homescore=visitorscore)*ISNUMBER(visitorscore),(visitor=S5)*(visitorscore=homescore)*ISNUMBER(homescore))</f>
        <v>1</v>
      </c>
      <c r="W5" s="21">
        <f t="array" ref="W5">SUM((home=S5)*(homescore&lt;visitorscore),(visitor=S5)*(visitorscore&lt;homescore))</f>
        <v>0</v>
      </c>
      <c r="X5" s="32">
        <f t="shared" ref="X5" si="8">SUMIF(home,S5,homescore)+SUMIF(visitor,S5,visitorscore)</f>
        <v>24</v>
      </c>
      <c r="Y5" s="33">
        <f t="shared" ref="Y5" si="9">SUMIF(home,S5,visitorscore)+SUMIF(visitor,S5,homescore)</f>
        <v>7</v>
      </c>
      <c r="Z5" s="34">
        <f t="shared" si="5"/>
        <v>17</v>
      </c>
      <c r="AA5" s="32">
        <f t="shared" si="6"/>
        <v>28</v>
      </c>
      <c r="AB5" s="20">
        <f t="shared" si="7"/>
        <v>28000170024</v>
      </c>
    </row>
    <row r="6" spans="1:28" x14ac:dyDescent="0.3">
      <c r="A6" s="35" t="str">
        <f>'Super+'!E10</f>
        <v>Blazej</v>
      </c>
      <c r="B6" s="19"/>
      <c r="C6" s="19"/>
      <c r="S6" s="36" t="str">
        <f t="shared" si="0"/>
        <v>ElMichaJ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5</v>
      </c>
      <c r="V6" s="21">
        <f t="array" ref="V6">SUM((home=S6)*(homescore=visitorscore)*ISNUMBER(visitorscore),(visitor=S6)*(visitorscore=homescore)*ISNUMBER(homescore))</f>
        <v>1</v>
      </c>
      <c r="W6" s="21">
        <f t="array" ref="W6">SUM((home=S6)*(homescore&lt;visitorscore),(visitor=S6)*(visitorscore&lt;homescore))</f>
        <v>4</v>
      </c>
      <c r="X6" s="32">
        <f t="shared" ref="X6" si="10">SUMIF(home,S6,homescore)+SUMIF(visitor,S6,visitorscore)</f>
        <v>24</v>
      </c>
      <c r="Y6" s="33">
        <f t="shared" ref="Y6" si="11">SUMIF(home,S6,visitorscore)+SUMIF(visitor,S6,homescore)</f>
        <v>17</v>
      </c>
      <c r="Z6" s="34">
        <f t="shared" si="5"/>
        <v>7</v>
      </c>
      <c r="AA6" s="32">
        <f t="shared" si="6"/>
        <v>16</v>
      </c>
      <c r="AB6" s="20">
        <f t="shared" si="7"/>
        <v>16000070024</v>
      </c>
    </row>
    <row r="7" spans="1:28" x14ac:dyDescent="0.3">
      <c r="A7" s="35" t="str">
        <f>'Super+'!E11</f>
        <v>ElMichaJ</v>
      </c>
      <c r="B7" s="19"/>
      <c r="C7" s="19"/>
      <c r="S7" s="37" t="str">
        <f t="shared" si="0"/>
        <v>Hawkz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5</v>
      </c>
      <c r="V7" s="21">
        <f t="array" ref="V7">SUM((home=S7)*(homescore=visitorscore)*ISNUMBER(visitorscore),(visitor=S7)*(visitorscore=homescore)*ISNUMBER(homescore))</f>
        <v>2</v>
      </c>
      <c r="W7" s="21">
        <f t="array" ref="W7">SUM((home=S7)*(homescore&lt;visitorscore),(visitor=S7)*(visitorscore&lt;homescore))</f>
        <v>3</v>
      </c>
      <c r="X7" s="32">
        <f t="shared" ref="X7" si="12">SUMIF(home,S7,homescore)+SUMIF(visitor,S7,visitorscore)</f>
        <v>17</v>
      </c>
      <c r="Y7" s="33">
        <f t="shared" ref="Y7" si="13">SUMIF(home,S7,visitorscore)+SUMIF(visitor,S7,homescore)</f>
        <v>16</v>
      </c>
      <c r="Z7" s="34">
        <f t="shared" si="5"/>
        <v>1</v>
      </c>
      <c r="AA7" s="32">
        <f t="shared" si="6"/>
        <v>17</v>
      </c>
      <c r="AB7" s="20">
        <f t="shared" si="7"/>
        <v>17000010017</v>
      </c>
    </row>
    <row r="8" spans="1:28" x14ac:dyDescent="0.3">
      <c r="A8" s="35" t="str">
        <f>'Super+'!E12</f>
        <v>Hawkz</v>
      </c>
      <c r="B8" s="19"/>
      <c r="C8" s="19"/>
      <c r="S8" s="37" t="str">
        <f t="shared" si="0"/>
        <v>Andib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6</v>
      </c>
      <c r="V8" s="21">
        <f t="array" ref="V8">SUM((home=S8)*(homescore=visitorscore)*ISNUMBER(visitorscore),(visitor=S8)*(visitorscore=homescore)*ISNUMBER(homescore))</f>
        <v>0</v>
      </c>
      <c r="W8" s="21">
        <f t="array" ref="W8">SUM((home=S8)*(homescore&lt;visitorscore),(visitor=S8)*(visitorscore&lt;homescore))</f>
        <v>4</v>
      </c>
      <c r="X8" s="32">
        <f t="shared" ref="X8" si="14">SUMIF(home,S8,homescore)+SUMIF(visitor,S8,visitorscore)</f>
        <v>23</v>
      </c>
      <c r="Y8" s="33">
        <f t="shared" ref="Y8" si="15">SUMIF(home,S8,visitorscore)+SUMIF(visitor,S8,homescore)</f>
        <v>17</v>
      </c>
      <c r="Z8" s="34">
        <f t="shared" si="5"/>
        <v>6</v>
      </c>
      <c r="AA8" s="32">
        <f t="shared" si="6"/>
        <v>18</v>
      </c>
      <c r="AB8" s="20">
        <f t="shared" si="7"/>
        <v>18000060023</v>
      </c>
    </row>
    <row r="9" spans="1:28" x14ac:dyDescent="0.3">
      <c r="A9" s="35" t="str">
        <f>'Super+'!E13</f>
        <v>Andib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Super!B7</f>
        <v>Andib</v>
      </c>
      <c r="B13" s="39" t="str">
        <f>Super!D7</f>
        <v>Blazej</v>
      </c>
      <c r="C13" s="40">
        <f>IF(Super!E7="","",Super!E7)</f>
        <v>0</v>
      </c>
      <c r="D13" s="40" t="s">
        <v>64</v>
      </c>
      <c r="E13" s="40">
        <f>IF(Super!G7="","",Super!G7)</f>
        <v>2</v>
      </c>
      <c r="F13" s="34"/>
    </row>
    <row r="14" spans="1:28" x14ac:dyDescent="0.3">
      <c r="A14" s="39" t="str">
        <f>Super!B8</f>
        <v>Klaris</v>
      </c>
      <c r="B14" s="39" t="str">
        <f>Super!D8</f>
        <v>Hawkz</v>
      </c>
      <c r="C14" s="40">
        <f>IF(Super!E8="","",Super!E8)</f>
        <v>0</v>
      </c>
      <c r="D14" s="40" t="s">
        <v>64</v>
      </c>
      <c r="E14" s="40">
        <f>IF(Super!G8="","",Super!G8)</f>
        <v>3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Super!B9</f>
        <v>ElMichaJ</v>
      </c>
      <c r="B15" s="39" t="str">
        <f>Super!D9</f>
        <v>Bromberg</v>
      </c>
      <c r="C15" s="40">
        <f>IF(Super!E9="","",Super!E9)</f>
        <v>6</v>
      </c>
      <c r="D15" s="40" t="s">
        <v>64</v>
      </c>
      <c r="E15" s="40">
        <f>IF(Super!G9="","",Super!G9)</f>
        <v>4</v>
      </c>
      <c r="F15" s="34"/>
      <c r="H15" s="42" t="str">
        <f t="array" ref="H15">INDEX($S$3:$S$8,MATCH(LARGE($AB$3:$AB$8-ROW($AB$3:$AB$8)/COUNT($AB$3:$AB$8),ROW(H15)-ROW(H$15)+1),$AB$3:$AB$8-ROW($AB$3:$AB$8)/COUNT($AB$3:$AB$8),0))</f>
        <v>Blazej</v>
      </c>
      <c r="I15" s="33">
        <f t="shared" ref="I15:I20" si="16">VLOOKUP($H15,$S$3:$AA$8,2,0)</f>
        <v>10</v>
      </c>
      <c r="J15" s="21">
        <f t="shared" ref="J15:J20" si="17">VLOOKUP($H15,$S$3:$AA$8,3,0)</f>
        <v>9</v>
      </c>
      <c r="K15" s="21">
        <f t="shared" ref="K15:K20" si="18">VLOOKUP($H15,$S$3:$AA$8,4,0)</f>
        <v>1</v>
      </c>
      <c r="L15" s="21">
        <f t="shared" ref="L15:L20" si="19">VLOOKUP($H15,$S$3:$AA$8,5,0)</f>
        <v>0</v>
      </c>
      <c r="M15" s="32">
        <f t="shared" ref="M15:M20" si="20">VLOOKUP($H15,$S$3:$AA$8,6,0)</f>
        <v>24</v>
      </c>
      <c r="N15" s="33">
        <f t="shared" ref="N15:N20" si="21">VLOOKUP($H15,$S$3:$AA$8,7,0)</f>
        <v>7</v>
      </c>
      <c r="O15" s="21">
        <f t="shared" ref="O15:O20" si="22">VLOOKUP($H15,$S$3:$AA$8,8,0)</f>
        <v>17</v>
      </c>
      <c r="P15" s="32">
        <f t="shared" ref="P15:P20" si="23">VLOOKUP($H15,$S$3:$AA$8,9,0)</f>
        <v>28</v>
      </c>
      <c r="Q15" s="21">
        <f>VLOOKUP(H15,'Super+'!$E$8:$H$15,3,0)</f>
        <v>0</v>
      </c>
    </row>
    <row r="16" spans="1:28" x14ac:dyDescent="0.3">
      <c r="A16" s="39" t="str">
        <f>Super!B10</f>
        <v>Hawkz</v>
      </c>
      <c r="B16" s="39" t="str">
        <f>Super!D10</f>
        <v>Andib</v>
      </c>
      <c r="C16" s="40">
        <f>IF(Super!E10="","",Super!E10)</f>
        <v>0</v>
      </c>
      <c r="D16" s="40" t="s">
        <v>64</v>
      </c>
      <c r="E16" s="40">
        <f>IF(Super!G10="","",Super!G10)</f>
        <v>4</v>
      </c>
      <c r="F16" s="34"/>
      <c r="H16" s="42" t="str">
        <f t="array" ref="H16">INDEX($S$3:$S$8,MATCH(LARGE($AB$3:$AB$8-ROW($AB$3:$AB$8)/COUNT($AB$3:$AB$8),ROW(H16)-ROW(H$15)+1),$AB$3:$AB$8-ROW($AB$3:$AB$8)/COUNT($AB$3:$AB$8),0))</f>
        <v>Andib</v>
      </c>
      <c r="I16" s="33">
        <f t="shared" si="16"/>
        <v>10</v>
      </c>
      <c r="J16" s="21">
        <f t="shared" si="17"/>
        <v>6</v>
      </c>
      <c r="K16" s="21">
        <f t="shared" si="18"/>
        <v>0</v>
      </c>
      <c r="L16" s="21">
        <f t="shared" si="19"/>
        <v>4</v>
      </c>
      <c r="M16" s="32">
        <f t="shared" si="20"/>
        <v>23</v>
      </c>
      <c r="N16" s="33">
        <f t="shared" si="21"/>
        <v>17</v>
      </c>
      <c r="O16" s="21">
        <f t="shared" si="22"/>
        <v>6</v>
      </c>
      <c r="P16" s="32">
        <f t="shared" si="23"/>
        <v>18</v>
      </c>
      <c r="Q16" s="21">
        <f>VLOOKUP(H16,'Super+'!$E$8:$H$15,3,0)</f>
        <v>0</v>
      </c>
    </row>
    <row r="17" spans="1:17" x14ac:dyDescent="0.3">
      <c r="A17" s="39" t="str">
        <f>Super!B11</f>
        <v>Bromberg</v>
      </c>
      <c r="B17" s="39" t="str">
        <f>Super!D11</f>
        <v>Blazej</v>
      </c>
      <c r="C17" s="40">
        <f>IF(Super!E11="","",Super!E11)</f>
        <v>1</v>
      </c>
      <c r="D17" s="40" t="s">
        <v>64</v>
      </c>
      <c r="E17" s="40">
        <f>IF(Super!G11="","",Super!G11)</f>
        <v>2</v>
      </c>
      <c r="F17" s="34"/>
      <c r="H17" s="42" t="str">
        <f t="array" ref="H17">INDEX($S$3:$S$8,MATCH(LARGE($AB$3:$AB$8-ROW($AB$3:$AB$8)/COUNT($AB$3:$AB$8),ROW(H17)-ROW(H$15)+1),$AB$3:$AB$8-ROW($AB$3:$AB$8)/COUNT($AB$3:$AB$8),0))</f>
        <v>Hawkz</v>
      </c>
      <c r="I17" s="33">
        <f t="shared" si="16"/>
        <v>10</v>
      </c>
      <c r="J17" s="21">
        <f t="shared" si="17"/>
        <v>5</v>
      </c>
      <c r="K17" s="21">
        <f t="shared" si="18"/>
        <v>2</v>
      </c>
      <c r="L17" s="21">
        <f t="shared" si="19"/>
        <v>3</v>
      </c>
      <c r="M17" s="32">
        <f t="shared" si="20"/>
        <v>17</v>
      </c>
      <c r="N17" s="33">
        <f t="shared" si="21"/>
        <v>16</v>
      </c>
      <c r="O17" s="21">
        <f t="shared" si="22"/>
        <v>1</v>
      </c>
      <c r="P17" s="32">
        <f t="shared" si="23"/>
        <v>17</v>
      </c>
      <c r="Q17" s="21">
        <f>VLOOKUP(H17,'Super+'!$E$8:$H$15,3,0)</f>
        <v>0</v>
      </c>
    </row>
    <row r="18" spans="1:17" x14ac:dyDescent="0.3">
      <c r="A18" s="39" t="str">
        <f>Super!B12</f>
        <v>ElMichaJ</v>
      </c>
      <c r="B18" s="39" t="str">
        <f>Super!D12</f>
        <v>Klaris</v>
      </c>
      <c r="C18" s="40">
        <f>IF(Super!E12="","",Super!E12)</f>
        <v>2</v>
      </c>
      <c r="D18" s="40" t="s">
        <v>64</v>
      </c>
      <c r="E18" s="40">
        <f>IF(Super!G12="","",Super!G12)</f>
        <v>1</v>
      </c>
      <c r="F18" s="34"/>
      <c r="H18" s="42" t="str">
        <f t="array" ref="H18">INDEX($S$3:$S$8,MATCH(LARGE($AB$3:$AB$8-ROW($AB$3:$AB$8)/COUNT($AB$3:$AB$8),ROW(H18)-ROW(H$15)+1),$AB$3:$AB$8-ROW($AB$3:$AB$8)/COUNT($AB$3:$AB$8),0))</f>
        <v>ElMichaJ</v>
      </c>
      <c r="I18" s="33">
        <f t="shared" si="16"/>
        <v>10</v>
      </c>
      <c r="J18" s="21">
        <f t="shared" si="17"/>
        <v>5</v>
      </c>
      <c r="K18" s="21">
        <f t="shared" si="18"/>
        <v>1</v>
      </c>
      <c r="L18" s="21">
        <f t="shared" si="19"/>
        <v>4</v>
      </c>
      <c r="M18" s="32">
        <f t="shared" si="20"/>
        <v>24</v>
      </c>
      <c r="N18" s="33">
        <f t="shared" si="21"/>
        <v>17</v>
      </c>
      <c r="O18" s="21">
        <f t="shared" si="22"/>
        <v>7</v>
      </c>
      <c r="P18" s="32">
        <f t="shared" si="23"/>
        <v>16</v>
      </c>
      <c r="Q18" s="21">
        <f>VLOOKUP(H18,'Super+'!$E$8:$H$15,3,0)</f>
        <v>0</v>
      </c>
    </row>
    <row r="19" spans="1:17" x14ac:dyDescent="0.3">
      <c r="A19" s="39" t="str">
        <f>Super!B13</f>
        <v>Andib</v>
      </c>
      <c r="B19" s="39" t="str">
        <f>Super!D13</f>
        <v>Bromberg</v>
      </c>
      <c r="C19" s="40">
        <f>IF(Super!E13="","",Super!E13)</f>
        <v>5</v>
      </c>
      <c r="D19" s="40" t="s">
        <v>64</v>
      </c>
      <c r="E19" s="40">
        <f>IF(Super!G13="","",Super!G13)</f>
        <v>2</v>
      </c>
      <c r="H19" s="42" t="str">
        <f t="array" ref="H19">INDEX($S$3:$S$8,MATCH(LARGE($AB$3:$AB$8-ROW($AB$3:$AB$8)/COUNT($AB$3:$AB$8),ROW(H19)-ROW(H$15)+1),$AB$3:$AB$8-ROW($AB$3:$AB$8)/COUNT($AB$3:$AB$8),0))</f>
        <v>Klaris</v>
      </c>
      <c r="I19" s="33">
        <f t="shared" si="16"/>
        <v>10</v>
      </c>
      <c r="J19" s="21">
        <f t="shared" si="17"/>
        <v>1</v>
      </c>
      <c r="K19" s="21">
        <f t="shared" si="18"/>
        <v>2</v>
      </c>
      <c r="L19" s="21">
        <f t="shared" si="19"/>
        <v>7</v>
      </c>
      <c r="M19" s="32">
        <f t="shared" si="20"/>
        <v>14</v>
      </c>
      <c r="N19" s="33">
        <f t="shared" si="21"/>
        <v>27</v>
      </c>
      <c r="O19" s="21">
        <f t="shared" si="22"/>
        <v>-13</v>
      </c>
      <c r="P19" s="32">
        <f t="shared" si="23"/>
        <v>5</v>
      </c>
      <c r="Q19" s="21">
        <f>VLOOKUP(H19,'Super+'!$E$8:$H$15,3,0)</f>
        <v>0</v>
      </c>
    </row>
    <row r="20" spans="1:17" x14ac:dyDescent="0.3">
      <c r="A20" s="39" t="str">
        <f>Super!B14</f>
        <v>Hawkz</v>
      </c>
      <c r="B20" s="39" t="str">
        <f>Super!D14</f>
        <v>ElMichaJ</v>
      </c>
      <c r="C20" s="40">
        <f>IF(Super!E14="","",Super!E14)</f>
        <v>2</v>
      </c>
      <c r="D20" s="40" t="s">
        <v>64</v>
      </c>
      <c r="E20" s="40">
        <f>IF(Super!G14="","",Super!G14)</f>
        <v>2</v>
      </c>
      <c r="H20" s="42" t="str">
        <f t="array" ref="H20">INDEX($S$3:$S$8,MATCH(LARGE($AB$3:$AB$8-ROW($AB$3:$AB$8)/COUNT($AB$3:$AB$8),ROW(H20)-ROW(H$15)+1),$AB$3:$AB$8-ROW($AB$3:$AB$8)/COUNT($AB$3:$AB$8),0))</f>
        <v>Bromberg</v>
      </c>
      <c r="I20" s="33">
        <f t="shared" si="16"/>
        <v>10</v>
      </c>
      <c r="J20" s="21">
        <f t="shared" si="17"/>
        <v>0</v>
      </c>
      <c r="K20" s="21">
        <f t="shared" si="18"/>
        <v>2</v>
      </c>
      <c r="L20" s="21">
        <f t="shared" si="19"/>
        <v>8</v>
      </c>
      <c r="M20" s="32">
        <f t="shared" si="20"/>
        <v>14</v>
      </c>
      <c r="N20" s="33">
        <f t="shared" si="21"/>
        <v>32</v>
      </c>
      <c r="O20" s="21">
        <f t="shared" si="22"/>
        <v>-18</v>
      </c>
      <c r="P20" s="32">
        <f t="shared" si="23"/>
        <v>2</v>
      </c>
      <c r="Q20" s="21">
        <f>VLOOKUP(H20,'Super+'!$E$8:$H$15,3,0)</f>
        <v>0</v>
      </c>
    </row>
    <row r="21" spans="1:17" x14ac:dyDescent="0.3">
      <c r="A21" s="39" t="str">
        <f>Super!B15</f>
        <v>Blazej</v>
      </c>
      <c r="B21" s="39" t="str">
        <f>Super!D15</f>
        <v>Klaris</v>
      </c>
      <c r="C21" s="40">
        <f>IF(Super!E15="","",Super!E15)</f>
        <v>2</v>
      </c>
      <c r="D21" s="40" t="s">
        <v>64</v>
      </c>
      <c r="E21" s="40">
        <f>IF(Super!G15="","",Super!G15)</f>
        <v>1</v>
      </c>
    </row>
    <row r="22" spans="1:17" x14ac:dyDescent="0.3">
      <c r="A22" s="39" t="str">
        <f>Super!B16</f>
        <v>ElMichaJ</v>
      </c>
      <c r="B22" s="39" t="str">
        <f>Super!D16</f>
        <v>Andib</v>
      </c>
      <c r="C22" s="40">
        <f>IF(Super!E16="","",Super!E16)</f>
        <v>3</v>
      </c>
      <c r="D22" s="40" t="s">
        <v>64</v>
      </c>
      <c r="E22" s="40">
        <f>IF(Super!G16="","",Super!G16)</f>
        <v>1</v>
      </c>
    </row>
    <row r="23" spans="1:17" x14ac:dyDescent="0.3">
      <c r="A23" s="39" t="str">
        <f>Super!B17</f>
        <v>Klaris</v>
      </c>
      <c r="B23" s="39" t="str">
        <f>Super!D17</f>
        <v>Bromberg</v>
      </c>
      <c r="C23" s="40">
        <f>IF(Super!E17="","",Super!E17)</f>
        <v>1</v>
      </c>
      <c r="D23" s="40" t="s">
        <v>64</v>
      </c>
      <c r="E23" s="40">
        <f>IF(Super!G17="","",Super!G17)</f>
        <v>1</v>
      </c>
    </row>
    <row r="24" spans="1:17" x14ac:dyDescent="0.3">
      <c r="A24" s="39" t="str">
        <f>Super!B18</f>
        <v>Blazej</v>
      </c>
      <c r="B24" s="39" t="str">
        <f>Super!D18</f>
        <v>Hawkz</v>
      </c>
      <c r="C24" s="40">
        <f>IF(Super!E18="","",Super!E18)</f>
        <v>3</v>
      </c>
      <c r="D24" s="40" t="s">
        <v>64</v>
      </c>
      <c r="E24" s="40">
        <f>IF(Super!G18="","",Super!G18)</f>
        <v>0</v>
      </c>
    </row>
    <row r="25" spans="1:17" x14ac:dyDescent="0.3">
      <c r="A25" s="39" t="str">
        <f>Super!B19</f>
        <v>Andib</v>
      </c>
      <c r="B25" s="39" t="str">
        <f>Super!D19</f>
        <v>Klaris</v>
      </c>
      <c r="C25" s="40">
        <f>IF(Super!E19="","",Super!E19)</f>
        <v>1</v>
      </c>
      <c r="D25" s="40" t="s">
        <v>64</v>
      </c>
      <c r="E25" s="40">
        <f>IF(Super!G19="","",Super!G19)</f>
        <v>2</v>
      </c>
    </row>
    <row r="26" spans="1:17" x14ac:dyDescent="0.3">
      <c r="A26" s="39" t="str">
        <f>Super!B20</f>
        <v>ElMichaJ</v>
      </c>
      <c r="B26" s="39" t="str">
        <f>Super!D20</f>
        <v>Blazej</v>
      </c>
      <c r="C26" s="40">
        <f>IF(Super!E20="","",Super!E20)</f>
        <v>1</v>
      </c>
      <c r="D26" s="40" t="s">
        <v>64</v>
      </c>
      <c r="E26" s="40">
        <f>IF(Super!G20="","",Super!G20)</f>
        <v>2</v>
      </c>
    </row>
    <row r="27" spans="1:17" x14ac:dyDescent="0.3">
      <c r="A27" s="39" t="str">
        <f>Super!B21</f>
        <v>Bromberg</v>
      </c>
      <c r="B27" s="39" t="str">
        <f>Super!D21</f>
        <v>Hawkz</v>
      </c>
      <c r="C27" s="40">
        <f>IF(Super!E21="","",Super!E21)</f>
        <v>0</v>
      </c>
      <c r="D27" s="40" t="s">
        <v>64</v>
      </c>
      <c r="E27" s="40">
        <f>IF(Super!G21="","",Super!G21)</f>
        <v>2</v>
      </c>
    </row>
    <row r="28" spans="1:17" x14ac:dyDescent="0.3">
      <c r="A28" s="39" t="str">
        <f>Super!J7</f>
        <v>Blazej</v>
      </c>
      <c r="B28" s="39" t="str">
        <f>Super!L7</f>
        <v>Andib</v>
      </c>
      <c r="C28" s="40">
        <f>IF(Super!M7="","",Super!M7)</f>
        <v>2</v>
      </c>
      <c r="D28" s="40" t="s">
        <v>64</v>
      </c>
      <c r="E28" s="40">
        <f>IF(Super!O7="","",Super!O7)</f>
        <v>0</v>
      </c>
    </row>
    <row r="29" spans="1:17" x14ac:dyDescent="0.3">
      <c r="A29" s="39" t="str">
        <f>Super!J8</f>
        <v>Hawkz</v>
      </c>
      <c r="B29" s="39" t="str">
        <f>Super!L8</f>
        <v>Klaris</v>
      </c>
      <c r="C29" s="40">
        <f>IF(Super!M8="","",Super!M8)</f>
        <v>3</v>
      </c>
      <c r="D29" s="40" t="s">
        <v>64</v>
      </c>
      <c r="E29" s="40">
        <f>IF(Super!O8="","",Super!O8)</f>
        <v>1</v>
      </c>
    </row>
    <row r="30" spans="1:17" x14ac:dyDescent="0.3">
      <c r="A30" s="39" t="str">
        <f>Super!J9</f>
        <v>Bromberg</v>
      </c>
      <c r="B30" s="39" t="str">
        <f>Super!L9</f>
        <v>ElMichaJ</v>
      </c>
      <c r="C30" s="40">
        <f>IF(Super!M9="","",Super!M9)</f>
        <v>0</v>
      </c>
      <c r="D30" s="40" t="s">
        <v>64</v>
      </c>
      <c r="E30" s="40">
        <f>IF(Super!O9="","",Super!O9)</f>
        <v>4</v>
      </c>
    </row>
    <row r="31" spans="1:17" x14ac:dyDescent="0.3">
      <c r="A31" s="39" t="str">
        <f>Super!J10</f>
        <v>Andib</v>
      </c>
      <c r="B31" s="39" t="str">
        <f>Super!L10</f>
        <v>Hawkz</v>
      </c>
      <c r="C31" s="40">
        <f>IF(Super!M10="","",Super!M10)</f>
        <v>3</v>
      </c>
      <c r="D31" s="40" t="s">
        <v>64</v>
      </c>
      <c r="E31" s="40">
        <f>IF(Super!O10="","",Super!O10)</f>
        <v>2</v>
      </c>
    </row>
    <row r="32" spans="1:17" x14ac:dyDescent="0.3">
      <c r="A32" s="39" t="str">
        <f>Super!J11</f>
        <v>Blazej</v>
      </c>
      <c r="B32" s="39" t="str">
        <f>Super!L11</f>
        <v>Bromberg</v>
      </c>
      <c r="C32" s="40">
        <f>IF(Super!M11="","",Super!M11)</f>
        <v>3</v>
      </c>
      <c r="D32" s="40" t="s">
        <v>64</v>
      </c>
      <c r="E32" s="40">
        <f>IF(Super!O11="","",Super!O11)</f>
        <v>1</v>
      </c>
    </row>
    <row r="33" spans="1:5" x14ac:dyDescent="0.3">
      <c r="A33" s="39" t="str">
        <f>Super!J12</f>
        <v>Klaris</v>
      </c>
      <c r="B33" s="39" t="str">
        <f>Super!L12</f>
        <v>ElMichaJ</v>
      </c>
      <c r="C33" s="40">
        <f>IF(Super!M12="","",Super!M12)</f>
        <v>1</v>
      </c>
      <c r="D33" s="40" t="s">
        <v>64</v>
      </c>
      <c r="E33" s="40">
        <f>IF(Super!O12="","",Super!O12)</f>
        <v>4</v>
      </c>
    </row>
    <row r="34" spans="1:5" x14ac:dyDescent="0.3">
      <c r="A34" s="39" t="str">
        <f>Super!J13</f>
        <v>Bromberg</v>
      </c>
      <c r="B34" s="39" t="str">
        <f>Super!L13</f>
        <v>Andib</v>
      </c>
      <c r="C34" s="40">
        <f>IF(Super!M13="","",Super!M13)</f>
        <v>1</v>
      </c>
      <c r="D34" s="40" t="s">
        <v>64</v>
      </c>
      <c r="E34" s="40">
        <f>IF(Super!O13="","",Super!O13)</f>
        <v>4</v>
      </c>
    </row>
    <row r="35" spans="1:5" x14ac:dyDescent="0.3">
      <c r="A35" s="39" t="str">
        <f>Super!J14</f>
        <v>ElMichaJ</v>
      </c>
      <c r="B35" s="39" t="str">
        <f>Super!L14</f>
        <v>Hawkz</v>
      </c>
      <c r="C35" s="40">
        <f>IF(Super!M14="","",Super!M14)</f>
        <v>1</v>
      </c>
      <c r="D35" s="40" t="s">
        <v>64</v>
      </c>
      <c r="E35" s="40">
        <f>IF(Super!O14="","",Super!O14)</f>
        <v>2</v>
      </c>
    </row>
    <row r="36" spans="1:5" x14ac:dyDescent="0.3">
      <c r="A36" s="39" t="str">
        <f>Super!J15</f>
        <v>Klaris</v>
      </c>
      <c r="B36" s="39" t="str">
        <f>Super!L15</f>
        <v>Blazej</v>
      </c>
      <c r="C36" s="40">
        <f>IF(Super!M15="","",Super!M15)</f>
        <v>1</v>
      </c>
      <c r="D36" s="40" t="s">
        <v>64</v>
      </c>
      <c r="E36" s="40">
        <f>IF(Super!O15="","",Super!O15)</f>
        <v>4</v>
      </c>
    </row>
    <row r="37" spans="1:5" x14ac:dyDescent="0.3">
      <c r="A37" s="39" t="str">
        <f>Super!J16</f>
        <v>Andib</v>
      </c>
      <c r="B37" s="39" t="str">
        <f>Super!L16</f>
        <v>ElMichaJ</v>
      </c>
      <c r="C37" s="40">
        <f>IF(Super!M16="","",Super!M16)</f>
        <v>1</v>
      </c>
      <c r="D37" s="40" t="s">
        <v>64</v>
      </c>
      <c r="E37" s="40">
        <f>IF(Super!O16="","",Super!O16)</f>
        <v>0</v>
      </c>
    </row>
    <row r="38" spans="1:5" x14ac:dyDescent="0.3">
      <c r="A38" s="39" t="str">
        <f>Super!J17</f>
        <v>Bromberg</v>
      </c>
      <c r="B38" s="39" t="str">
        <f>Super!L17</f>
        <v>Klaris</v>
      </c>
      <c r="C38" s="40">
        <f>IF(Super!M17="","",Super!M17)</f>
        <v>3</v>
      </c>
      <c r="D38" s="40" t="s">
        <v>64</v>
      </c>
      <c r="E38" s="40">
        <f>IF(Super!O17="","",Super!O17)</f>
        <v>3</v>
      </c>
    </row>
    <row r="39" spans="1:5" x14ac:dyDescent="0.3">
      <c r="A39" s="39" t="str">
        <f>Super!J18</f>
        <v>Hawkz</v>
      </c>
      <c r="B39" s="39" t="str">
        <f>Super!L18</f>
        <v>Blazej</v>
      </c>
      <c r="C39" s="40">
        <f>IF(Super!M18="","",Super!M18)</f>
        <v>1</v>
      </c>
      <c r="D39" s="40" t="s">
        <v>64</v>
      </c>
      <c r="E39" s="40">
        <f>IF(Super!O18="","",Super!O18)</f>
        <v>1</v>
      </c>
    </row>
    <row r="40" spans="1:5" x14ac:dyDescent="0.3">
      <c r="A40" s="39" t="str">
        <f>Super!J19</f>
        <v>Klaris</v>
      </c>
      <c r="B40" s="39" t="str">
        <f>Super!L19</f>
        <v>Andib</v>
      </c>
      <c r="C40" s="40">
        <f>IF(Super!M19="","",Super!M19)</f>
        <v>3</v>
      </c>
      <c r="D40" s="40" t="s">
        <v>64</v>
      </c>
      <c r="E40" s="40">
        <f>IF(Super!O19="","",Super!O19)</f>
        <v>4</v>
      </c>
    </row>
    <row r="41" spans="1:5" x14ac:dyDescent="0.3">
      <c r="A41" s="39" t="str">
        <f>Super!J20</f>
        <v>Blazej</v>
      </c>
      <c r="B41" s="39" t="str">
        <f>Super!L20</f>
        <v>ElMichaJ</v>
      </c>
      <c r="C41" s="40">
        <f>IF(Super!M20="","",Super!M20)</f>
        <v>3</v>
      </c>
      <c r="D41" s="40" t="s">
        <v>64</v>
      </c>
      <c r="E41" s="40">
        <f>IF(Super!O20="","",Super!O20)</f>
        <v>1</v>
      </c>
    </row>
    <row r="42" spans="1:5" x14ac:dyDescent="0.3">
      <c r="A42" s="39" t="str">
        <f>Super!J21</f>
        <v>Hawkz</v>
      </c>
      <c r="B42" s="39" t="str">
        <f>Super!L21</f>
        <v>Bromberg</v>
      </c>
      <c r="C42" s="40">
        <f>IF(Super!M21="","",Super!M21)</f>
        <v>2</v>
      </c>
      <c r="D42" s="40" t="s">
        <v>64</v>
      </c>
      <c r="E42" s="40">
        <f>IF(Super!O21="","",Super!O21)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DJ76"/>
  <sheetViews>
    <sheetView showGridLines="0" zoomScaleNormal="100" workbookViewId="0">
      <selection activeCell="E6" sqref="E6"/>
    </sheetView>
  </sheetViews>
  <sheetFormatPr defaultRowHeight="14.4" x14ac:dyDescent="0.3"/>
  <cols>
    <col min="2" max="2" width="20.6640625" customWidth="1"/>
    <col min="3" max="4" width="2.33203125" customWidth="1"/>
    <col min="5" max="8" width="4.6640625" customWidth="1"/>
    <col min="9" max="9" width="6.6640625" customWidth="1"/>
    <col min="10" max="10" width="20.6640625" customWidth="1"/>
    <col min="11" max="12" width="2.33203125" customWidth="1"/>
    <col min="13" max="16" width="4.6640625" customWidth="1"/>
    <col min="17" max="18" width="3.6640625" customWidth="1"/>
    <col min="19" max="19" width="20.6640625" customWidth="1"/>
    <col min="20" max="21" width="2.33203125" customWidth="1"/>
    <col min="22" max="25" width="4.6640625" customWidth="1"/>
    <col min="46" max="46" width="9.6640625" bestFit="1" customWidth="1"/>
    <col min="47" max="47" width="10" bestFit="1" customWidth="1"/>
    <col min="48" max="48" width="11.6640625" bestFit="1" customWidth="1"/>
    <col min="49" max="50" width="11.6640625" customWidth="1"/>
    <col min="51" max="51" width="6.109375" bestFit="1" customWidth="1"/>
    <col min="52" max="52" width="10.6640625" bestFit="1" customWidth="1"/>
    <col min="53" max="53" width="9.6640625" bestFit="1" customWidth="1"/>
  </cols>
  <sheetData>
    <row r="1" spans="1:114" ht="15" thickBot="1" x14ac:dyDescent="0.35"/>
    <row r="2" spans="1:114" s="75" customFormat="1" ht="31.5" customHeight="1" thickTop="1" thickBot="1" x14ac:dyDescent="0.35">
      <c r="B2" s="237" t="s">
        <v>85</v>
      </c>
      <c r="C2" s="238"/>
      <c r="D2" s="238"/>
      <c r="E2" s="238"/>
      <c r="F2" s="238"/>
      <c r="G2" s="238"/>
      <c r="H2" s="239"/>
      <c r="J2" s="237" t="s">
        <v>86</v>
      </c>
      <c r="K2" s="238"/>
      <c r="L2" s="238"/>
      <c r="M2" s="238"/>
      <c r="N2" s="238"/>
      <c r="O2" s="238"/>
      <c r="P2" s="239"/>
      <c r="S2" s="237" t="s">
        <v>87</v>
      </c>
      <c r="T2" s="238"/>
      <c r="U2" s="238"/>
      <c r="V2" s="238"/>
      <c r="W2" s="238"/>
      <c r="X2" s="238"/>
      <c r="Y2" s="239"/>
      <c r="AC2" s="77"/>
      <c r="AD2" s="77"/>
      <c r="AE2" s="77"/>
      <c r="AF2" s="77"/>
      <c r="AG2" s="77"/>
      <c r="AH2" s="77"/>
      <c r="AI2" s="77"/>
      <c r="AJ2" s="77"/>
      <c r="AK2" s="77"/>
      <c r="AL2" s="78"/>
      <c r="AM2" s="78"/>
      <c r="AN2" s="78"/>
      <c r="AO2" s="78"/>
      <c r="AP2" s="78"/>
      <c r="AQ2" s="78"/>
      <c r="AR2" s="78"/>
      <c r="AS2" s="78"/>
      <c r="AT2" s="78"/>
      <c r="AU2" s="79"/>
      <c r="AV2" s="79"/>
      <c r="AW2" s="79"/>
      <c r="AX2" s="79"/>
      <c r="AY2" s="79"/>
      <c r="AZ2" s="79"/>
      <c r="BA2" s="79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80"/>
      <c r="CJ2" s="79"/>
      <c r="CK2" s="79"/>
      <c r="CL2" s="81"/>
      <c r="CM2" s="81"/>
    </row>
    <row r="3" spans="1:114" s="75" customFormat="1" ht="16.5" customHeight="1" thickTop="1" x14ac:dyDescent="0.3">
      <c r="M3" s="82"/>
      <c r="N3" s="82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4"/>
      <c r="AV3" s="84"/>
      <c r="AW3" s="84"/>
      <c r="AX3" s="84"/>
      <c r="AY3" s="84"/>
      <c r="AZ3" s="84"/>
      <c r="BA3" s="84"/>
      <c r="BB3" s="83"/>
      <c r="BC3" s="81"/>
      <c r="BD3" s="81"/>
      <c r="BE3" s="81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79"/>
      <c r="BR3" s="79"/>
      <c r="BS3" s="79"/>
      <c r="BT3" s="79"/>
      <c r="BU3" s="79"/>
      <c r="BV3" s="79"/>
      <c r="BW3" s="79"/>
      <c r="BX3" s="79"/>
      <c r="BY3" s="79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79"/>
      <c r="CL3" s="79"/>
      <c r="CM3" s="79"/>
      <c r="CN3" s="79"/>
      <c r="CO3" s="79"/>
      <c r="CP3" s="81"/>
      <c r="CQ3" s="81"/>
      <c r="CR3" s="81"/>
      <c r="CS3" s="81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79"/>
      <c r="DF3" s="79"/>
      <c r="DG3" s="79"/>
      <c r="DH3" s="79"/>
      <c r="DI3" s="79"/>
      <c r="DJ3" s="81"/>
    </row>
    <row r="4" spans="1:114" s="75" customFormat="1" ht="18.75" customHeight="1" x14ac:dyDescent="0.3">
      <c r="B4" s="231" t="s">
        <v>98</v>
      </c>
      <c r="M4" s="82"/>
      <c r="N4" s="82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83"/>
      <c r="BC4" s="99"/>
      <c r="BD4" s="81"/>
      <c r="BE4" s="81"/>
      <c r="BF4" s="100"/>
      <c r="BG4" s="81"/>
      <c r="BH4" s="101"/>
      <c r="BI4" s="101"/>
      <c r="BJ4" s="101"/>
      <c r="BK4" s="101"/>
      <c r="BL4" s="101"/>
      <c r="BM4" s="101"/>
      <c r="BN4" s="101"/>
      <c r="BO4" s="81"/>
      <c r="BP4" s="85"/>
      <c r="BQ4" s="81"/>
      <c r="BR4" s="81"/>
      <c r="BS4" s="81"/>
      <c r="BT4" s="81"/>
      <c r="BU4" s="102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102"/>
      <c r="CH4" s="81"/>
      <c r="CI4" s="81"/>
      <c r="CJ4" s="81"/>
      <c r="CK4" s="102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</row>
    <row r="5" spans="1:114" s="75" customFormat="1" ht="3" customHeight="1" thickBot="1" x14ac:dyDescent="0.35">
      <c r="B5" s="232"/>
      <c r="M5" s="82"/>
      <c r="N5" s="82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81"/>
      <c r="BC5" s="99"/>
      <c r="BD5" s="99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</row>
    <row r="6" spans="1:114" s="75" customFormat="1" ht="18.75" customHeight="1" thickTop="1" thickBot="1" x14ac:dyDescent="0.35">
      <c r="A6" s="167"/>
      <c r="B6" s="138" t="s">
        <v>145</v>
      </c>
      <c r="C6" s="140"/>
      <c r="D6" s="140"/>
      <c r="E6" s="143">
        <v>3</v>
      </c>
      <c r="F6" s="134">
        <v>1</v>
      </c>
      <c r="G6" s="87"/>
      <c r="H6" s="88" t="s">
        <v>94</v>
      </c>
      <c r="M6" s="82"/>
      <c r="N6" s="82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83"/>
      <c r="BC6" s="99"/>
      <c r="BD6" s="81"/>
      <c r="BE6" s="81"/>
      <c r="BF6" s="100"/>
      <c r="BG6" s="81"/>
      <c r="BH6" s="101"/>
      <c r="BI6" s="101"/>
      <c r="BJ6" s="101"/>
      <c r="BK6" s="101"/>
      <c r="BL6" s="101"/>
      <c r="BM6" s="101"/>
      <c r="BN6" s="101"/>
      <c r="BO6" s="81"/>
      <c r="BP6" s="85"/>
      <c r="BQ6" s="81"/>
      <c r="BR6" s="81"/>
      <c r="BS6" s="81"/>
      <c r="BT6" s="81"/>
      <c r="BU6" s="102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102"/>
      <c r="CH6" s="81"/>
      <c r="CI6" s="81"/>
      <c r="CJ6" s="81"/>
      <c r="CK6" s="102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</row>
    <row r="7" spans="1:114" s="75" customFormat="1" ht="10.5" customHeight="1" thickBot="1" x14ac:dyDescent="0.35">
      <c r="B7" s="103" t="s">
        <v>19</v>
      </c>
      <c r="C7" s="141"/>
      <c r="D7" s="136"/>
      <c r="E7" s="130"/>
      <c r="F7" s="131"/>
      <c r="G7" s="104"/>
      <c r="H7" s="105"/>
      <c r="M7" s="82"/>
      <c r="N7" s="82"/>
      <c r="AD7" s="11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81"/>
      <c r="BC7" s="99"/>
      <c r="BD7" s="99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</row>
    <row r="8" spans="1:114" s="75" customFormat="1" ht="18.75" customHeight="1" thickBot="1" x14ac:dyDescent="0.35">
      <c r="A8" s="167"/>
      <c r="B8" s="139" t="s">
        <v>129</v>
      </c>
      <c r="C8" s="142"/>
      <c r="D8" s="142"/>
      <c r="E8" s="144">
        <v>1</v>
      </c>
      <c r="F8" s="135">
        <v>2</v>
      </c>
      <c r="G8" s="107"/>
      <c r="H8" s="108"/>
      <c r="J8" s="226" t="s">
        <v>102</v>
      </c>
      <c r="M8" s="82"/>
      <c r="N8" s="82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83"/>
      <c r="BC8" s="99"/>
      <c r="BD8" s="81"/>
      <c r="BE8" s="81"/>
      <c r="BF8" s="100"/>
      <c r="BG8" s="81"/>
      <c r="BH8" s="101"/>
      <c r="BI8" s="101"/>
      <c r="BJ8" s="101"/>
      <c r="BK8" s="101"/>
      <c r="BL8" s="101"/>
      <c r="BM8" s="101"/>
      <c r="BN8" s="101"/>
      <c r="BO8" s="81"/>
      <c r="BP8" s="85"/>
      <c r="BQ8" s="81"/>
      <c r="BR8" s="81"/>
      <c r="BS8" s="81"/>
      <c r="BT8" s="81"/>
      <c r="BU8" s="102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102"/>
      <c r="CH8" s="81"/>
      <c r="CI8" s="81"/>
      <c r="CJ8" s="81"/>
      <c r="CK8" s="102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</row>
    <row r="9" spans="1:114" s="75" customFormat="1" ht="3" customHeight="1" thickTop="1" thickBot="1" x14ac:dyDescent="0.35">
      <c r="B9" s="86"/>
      <c r="C9" s="86"/>
      <c r="D9" s="86"/>
      <c r="J9" s="227"/>
      <c r="M9" s="82"/>
      <c r="N9" s="82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81"/>
      <c r="BC9" s="99"/>
      <c r="BD9" s="99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</row>
    <row r="10" spans="1:114" s="75" customFormat="1" ht="18.75" customHeight="1" thickTop="1" thickBot="1" x14ac:dyDescent="0.35">
      <c r="B10" s="86"/>
      <c r="C10" s="86"/>
      <c r="D10" s="86"/>
      <c r="J10" s="138" t="str">
        <f>IF(AL37&lt;2,"Winner QF 1",IF(AJ37=AJ39,"Winner QF 1",IF(F8="","Winner QF 1",(IF(AND(AX37=2,G8=""),"Winner QF 1",VLOOKUP(AI37,AJ37:AK39,2,0))))))</f>
        <v>Dennis</v>
      </c>
      <c r="K10" s="140"/>
      <c r="L10" s="140"/>
      <c r="M10" s="143">
        <v>1</v>
      </c>
      <c r="N10" s="134">
        <v>1</v>
      </c>
      <c r="O10" s="87"/>
      <c r="P10" s="88" t="s">
        <v>94</v>
      </c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83"/>
      <c r="BC10" s="99"/>
      <c r="BD10" s="81"/>
      <c r="BE10" s="81"/>
      <c r="BF10" s="100"/>
      <c r="BG10" s="81"/>
      <c r="BH10" s="101"/>
      <c r="BI10" s="101"/>
      <c r="BJ10" s="101"/>
      <c r="BK10" s="101"/>
      <c r="BL10" s="101"/>
      <c r="BM10" s="101"/>
      <c r="BN10" s="101"/>
      <c r="BO10" s="81"/>
      <c r="BP10" s="85"/>
      <c r="BQ10" s="81"/>
      <c r="BR10" s="81"/>
      <c r="BS10" s="81"/>
      <c r="BT10" s="81"/>
      <c r="BU10" s="102"/>
      <c r="BV10" s="81"/>
      <c r="BW10" s="99"/>
      <c r="BX10" s="81"/>
      <c r="BY10" s="81"/>
      <c r="BZ10" s="100"/>
      <c r="CA10" s="81"/>
      <c r="CB10" s="101"/>
      <c r="CC10" s="101"/>
      <c r="CD10" s="101"/>
      <c r="CE10" s="101"/>
      <c r="CF10" s="101"/>
      <c r="CG10" s="101"/>
      <c r="CH10" s="101"/>
      <c r="CI10" s="81"/>
      <c r="CJ10" s="85"/>
      <c r="CK10" s="81"/>
      <c r="CL10" s="81"/>
      <c r="CM10" s="81"/>
      <c r="CN10" s="81"/>
      <c r="CO10" s="102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</row>
    <row r="11" spans="1:114" s="75" customFormat="1" ht="10.5" customHeight="1" thickBot="1" x14ac:dyDescent="0.35">
      <c r="B11" s="86"/>
      <c r="C11" s="86"/>
      <c r="D11" s="86"/>
      <c r="J11" s="103" t="s">
        <v>19</v>
      </c>
      <c r="K11" s="141"/>
      <c r="L11" s="136"/>
      <c r="M11" s="130"/>
      <c r="N11" s="131"/>
      <c r="O11" s="104"/>
      <c r="P11" s="105"/>
      <c r="AD11" s="11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81"/>
      <c r="BC11" s="99"/>
      <c r="BD11" s="99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99"/>
      <c r="BX11" s="99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</row>
    <row r="12" spans="1:114" s="75" customFormat="1" ht="18.75" customHeight="1" thickBot="1" x14ac:dyDescent="0.35">
      <c r="B12" s="231" t="s">
        <v>99</v>
      </c>
      <c r="C12" s="86"/>
      <c r="D12" s="86"/>
      <c r="J12" s="139" t="str">
        <f>IF(AL41&lt;2,"Winner QF 2",IF(AJ41=AJ43,"Winner QF 2",IF(F16="","Winner QF 1",(IF(AND(AX41=2,G16=""),"Winner QF 2",VLOOKUP(AI41,AJ41:AK43,2,0))))))</f>
        <v>Paider</v>
      </c>
      <c r="K12" s="142"/>
      <c r="L12" s="142"/>
      <c r="M12" s="144">
        <v>2</v>
      </c>
      <c r="N12" s="135">
        <v>8</v>
      </c>
      <c r="O12" s="107"/>
      <c r="P12" s="108"/>
      <c r="AD12" s="11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83"/>
      <c r="BC12" s="99"/>
      <c r="BD12" s="81"/>
      <c r="BE12" s="81"/>
      <c r="BF12" s="100"/>
      <c r="BG12" s="81"/>
      <c r="BH12" s="101"/>
      <c r="BI12" s="101"/>
      <c r="BJ12" s="101"/>
      <c r="BK12" s="101"/>
      <c r="BL12" s="101"/>
      <c r="BM12" s="101"/>
      <c r="BN12" s="101"/>
      <c r="BO12" s="81"/>
      <c r="BP12" s="85"/>
      <c r="BQ12" s="81"/>
      <c r="BR12" s="81"/>
      <c r="BS12" s="81"/>
      <c r="BT12" s="81"/>
      <c r="BU12" s="102"/>
      <c r="BV12" s="81"/>
      <c r="BW12" s="99"/>
      <c r="BX12" s="81"/>
      <c r="BY12" s="81"/>
      <c r="BZ12" s="100"/>
      <c r="CA12" s="81"/>
      <c r="CB12" s="101"/>
      <c r="CC12" s="101"/>
      <c r="CD12" s="101"/>
      <c r="CE12" s="101"/>
      <c r="CF12" s="101"/>
      <c r="CG12" s="101"/>
      <c r="CH12" s="101"/>
      <c r="CI12" s="81"/>
      <c r="CJ12" s="85"/>
      <c r="CK12" s="81"/>
      <c r="CL12" s="81"/>
      <c r="CM12" s="81"/>
      <c r="CN12" s="81"/>
      <c r="CO12" s="102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</row>
    <row r="13" spans="1:114" s="75" customFormat="1" ht="3" customHeight="1" thickTop="1" thickBot="1" x14ac:dyDescent="0.35">
      <c r="B13" s="232"/>
      <c r="C13" s="86"/>
      <c r="D13" s="86"/>
      <c r="J13" s="86"/>
      <c r="K13" s="86"/>
      <c r="L13" s="86"/>
      <c r="M13" s="82"/>
      <c r="N13" s="82"/>
      <c r="AD13" s="11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81"/>
      <c r="BC13" s="99"/>
      <c r="BD13" s="99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</row>
    <row r="14" spans="1:114" s="75" customFormat="1" ht="18.75" customHeight="1" thickTop="1" thickBot="1" x14ac:dyDescent="0.35">
      <c r="A14" s="167"/>
      <c r="B14" s="138" t="s">
        <v>122</v>
      </c>
      <c r="C14" s="140"/>
      <c r="D14" s="140"/>
      <c r="E14" s="143">
        <v>4</v>
      </c>
      <c r="F14" s="134">
        <v>1</v>
      </c>
      <c r="G14" s="87"/>
      <c r="H14" s="88" t="s">
        <v>94</v>
      </c>
      <c r="J14" s="86"/>
      <c r="K14" s="86"/>
      <c r="L14" s="86"/>
      <c r="M14" s="82"/>
      <c r="N14" s="82"/>
      <c r="AD14" s="11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83"/>
      <c r="BC14" s="99"/>
      <c r="BD14" s="81"/>
      <c r="BE14" s="81"/>
      <c r="BF14" s="100"/>
      <c r="BG14" s="81"/>
      <c r="BH14" s="101"/>
      <c r="BI14" s="101"/>
      <c r="BJ14" s="101"/>
      <c r="BK14" s="101"/>
      <c r="BL14" s="101"/>
      <c r="BM14" s="101"/>
      <c r="BN14" s="101"/>
      <c r="BO14" s="81"/>
      <c r="BP14" s="85"/>
      <c r="BQ14" s="81"/>
      <c r="BR14" s="81"/>
      <c r="BS14" s="81"/>
      <c r="BT14" s="81"/>
      <c r="BU14" s="102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102"/>
      <c r="CH14" s="81"/>
      <c r="CI14" s="81"/>
      <c r="CJ14" s="81"/>
      <c r="CK14" s="102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</row>
    <row r="15" spans="1:114" s="75" customFormat="1" ht="10.5" customHeight="1" thickBot="1" x14ac:dyDescent="0.35">
      <c r="A15" s="167"/>
      <c r="B15" s="103" t="s">
        <v>19</v>
      </c>
      <c r="C15" s="141"/>
      <c r="D15" s="136"/>
      <c r="E15" s="130"/>
      <c r="F15" s="131"/>
      <c r="G15" s="104"/>
      <c r="H15" s="105"/>
      <c r="J15" s="86"/>
      <c r="K15" s="86"/>
      <c r="L15" s="86"/>
      <c r="M15" s="82"/>
      <c r="N15" s="82"/>
      <c r="AD15" s="11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81"/>
      <c r="BC15" s="99"/>
      <c r="BD15" s="99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</row>
    <row r="16" spans="1:114" s="75" customFormat="1" ht="18.75" customHeight="1" thickBot="1" x14ac:dyDescent="0.35">
      <c r="A16" s="167"/>
      <c r="B16" s="139" t="s">
        <v>130</v>
      </c>
      <c r="C16" s="142"/>
      <c r="D16" s="142"/>
      <c r="E16" s="144">
        <v>0</v>
      </c>
      <c r="F16" s="135">
        <v>4</v>
      </c>
      <c r="G16" s="107"/>
      <c r="H16" s="108"/>
      <c r="J16" s="86"/>
      <c r="K16" s="86"/>
      <c r="L16" s="86"/>
      <c r="M16" s="82"/>
      <c r="N16" s="82"/>
      <c r="S16" s="233" t="s">
        <v>87</v>
      </c>
      <c r="AD16" s="11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83"/>
      <c r="BC16" s="99"/>
      <c r="BD16" s="81"/>
      <c r="BE16" s="81"/>
      <c r="BF16" s="100"/>
      <c r="BG16" s="81"/>
      <c r="BH16" s="101"/>
      <c r="BI16" s="101"/>
      <c r="BJ16" s="101"/>
      <c r="BK16" s="101"/>
      <c r="BL16" s="101"/>
      <c r="BM16" s="101"/>
      <c r="BN16" s="101"/>
      <c r="BO16" s="81"/>
      <c r="BP16" s="85"/>
      <c r="BQ16" s="81"/>
      <c r="BR16" s="81"/>
      <c r="BS16" s="81"/>
      <c r="BT16" s="81"/>
      <c r="BU16" s="102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102"/>
      <c r="CH16" s="81"/>
      <c r="CI16" s="81"/>
      <c r="CJ16" s="81"/>
      <c r="CK16" s="102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</row>
    <row r="17" spans="1:114" s="75" customFormat="1" ht="3" customHeight="1" thickTop="1" thickBot="1" x14ac:dyDescent="0.35">
      <c r="B17" s="86"/>
      <c r="C17" s="86"/>
      <c r="D17" s="86"/>
      <c r="J17" s="86"/>
      <c r="K17" s="86"/>
      <c r="L17" s="86"/>
      <c r="M17" s="82"/>
      <c r="N17" s="82"/>
      <c r="S17" s="234"/>
      <c r="AD17" s="11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81"/>
      <c r="BC17" s="99"/>
      <c r="BD17" s="99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</row>
    <row r="18" spans="1:114" s="75" customFormat="1" ht="18.75" customHeight="1" thickTop="1" thickBot="1" x14ac:dyDescent="0.35">
      <c r="B18" s="86"/>
      <c r="C18" s="86"/>
      <c r="D18" s="86"/>
      <c r="J18" s="86"/>
      <c r="K18" s="86"/>
      <c r="L18" s="86"/>
      <c r="M18" s="82"/>
      <c r="N18" s="82"/>
      <c r="S18" s="138" t="str">
        <f>IF(AL54&lt;1,"Winner SF 1",IF(AJ54=AJ56,"Winner SF 1",IF(N12="","Winner SF 1",(IF(AND(AX54=2,O12=""),"Winner SF 1",VLOOKUP(AI54,AJ54:AK56,2,0))))))</f>
        <v>Paider</v>
      </c>
      <c r="T18" s="140"/>
      <c r="U18" s="140"/>
      <c r="V18" s="143">
        <v>1</v>
      </c>
      <c r="W18" s="134">
        <v>1</v>
      </c>
      <c r="X18" s="87"/>
      <c r="Y18" s="88" t="s">
        <v>94</v>
      </c>
      <c r="AD18" s="11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83"/>
      <c r="BC18" s="99"/>
      <c r="BD18" s="81"/>
      <c r="BE18" s="81"/>
      <c r="BF18" s="100"/>
      <c r="BG18" s="81"/>
      <c r="BH18" s="101"/>
      <c r="BI18" s="101"/>
      <c r="BJ18" s="101"/>
      <c r="BK18" s="101"/>
      <c r="BL18" s="101"/>
      <c r="BM18" s="101"/>
      <c r="BN18" s="101"/>
      <c r="BO18" s="81"/>
      <c r="BP18" s="85"/>
      <c r="BQ18" s="81"/>
      <c r="BR18" s="81"/>
      <c r="BS18" s="81"/>
      <c r="BT18" s="81"/>
      <c r="BU18" s="102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102"/>
      <c r="CH18" s="81"/>
      <c r="CI18" s="81"/>
      <c r="CJ18" s="81"/>
      <c r="CK18" s="102"/>
      <c r="CL18" s="81"/>
      <c r="CM18" s="81"/>
      <c r="CN18" s="81"/>
      <c r="CO18" s="81"/>
      <c r="CP18" s="81"/>
      <c r="CQ18" s="99"/>
      <c r="CR18" s="81"/>
      <c r="CS18" s="81"/>
      <c r="CT18" s="100"/>
      <c r="CU18" s="81"/>
      <c r="CV18" s="101"/>
      <c r="CW18" s="101"/>
      <c r="CX18" s="101"/>
      <c r="CY18" s="101"/>
      <c r="CZ18" s="101"/>
      <c r="DA18" s="101"/>
      <c r="DB18" s="101"/>
      <c r="DC18" s="81"/>
      <c r="DD18" s="85"/>
      <c r="DE18" s="81"/>
      <c r="DF18" s="81"/>
      <c r="DG18" s="81"/>
      <c r="DH18" s="81"/>
      <c r="DI18" s="102"/>
      <c r="DJ18" s="81"/>
    </row>
    <row r="19" spans="1:114" s="75" customFormat="1" ht="10.5" customHeight="1" thickBot="1" x14ac:dyDescent="0.35">
      <c r="B19" s="86"/>
      <c r="C19" s="86"/>
      <c r="D19" s="86"/>
      <c r="J19" s="86"/>
      <c r="K19" s="86"/>
      <c r="L19" s="86"/>
      <c r="M19" s="82"/>
      <c r="N19" s="82"/>
      <c r="S19" s="103" t="s">
        <v>19</v>
      </c>
      <c r="T19" s="141"/>
      <c r="U19" s="136"/>
      <c r="V19" s="130"/>
      <c r="W19" s="131"/>
      <c r="X19" s="104"/>
      <c r="Y19" s="105"/>
      <c r="AD19" s="11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81"/>
      <c r="BC19" s="99"/>
      <c r="BD19" s="99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99"/>
      <c r="CR19" s="99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</row>
    <row r="20" spans="1:114" s="75" customFormat="1" ht="18.75" customHeight="1" thickBot="1" x14ac:dyDescent="0.35">
      <c r="B20" s="231" t="s">
        <v>100</v>
      </c>
      <c r="C20" s="86"/>
      <c r="D20" s="86"/>
      <c r="J20" s="86"/>
      <c r="K20" s="86"/>
      <c r="L20" s="86"/>
      <c r="M20" s="82"/>
      <c r="N20" s="82"/>
      <c r="S20" s="139" t="str">
        <f>IF(AL58&lt;1,"Winner SF 2",IF(AJ58=AJ60,"Winner SF 2",IF(N28="","Winner SF 2",(IF(AND(AX58=2,O28=""),"Winner SF 2",VLOOKUP(AI58,AJ58:AK60,2,0))))))</f>
        <v>DoTa</v>
      </c>
      <c r="T20" s="142"/>
      <c r="U20" s="142"/>
      <c r="V20" s="144">
        <v>1</v>
      </c>
      <c r="W20" s="135">
        <v>3</v>
      </c>
      <c r="X20" s="107"/>
      <c r="Y20" s="108"/>
      <c r="AD20" s="11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83"/>
      <c r="BC20" s="99"/>
      <c r="BD20" s="81"/>
      <c r="BE20" s="81"/>
      <c r="BF20" s="100"/>
      <c r="BG20" s="81"/>
      <c r="BH20" s="101"/>
      <c r="BI20" s="101"/>
      <c r="BJ20" s="101"/>
      <c r="BK20" s="101"/>
      <c r="BL20" s="101"/>
      <c r="BM20" s="101"/>
      <c r="BN20" s="101"/>
      <c r="BO20" s="81"/>
      <c r="BP20" s="85"/>
      <c r="BQ20" s="81"/>
      <c r="BR20" s="81"/>
      <c r="BS20" s="81"/>
      <c r="BT20" s="81"/>
      <c r="BU20" s="102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102"/>
      <c r="CH20" s="81"/>
      <c r="CI20" s="81"/>
      <c r="CJ20" s="81"/>
      <c r="CK20" s="102"/>
      <c r="CL20" s="81"/>
      <c r="CM20" s="81"/>
      <c r="CN20" s="81"/>
      <c r="CO20" s="81"/>
      <c r="CP20" s="81"/>
      <c r="CQ20" s="99"/>
      <c r="CR20" s="81"/>
      <c r="CS20" s="81"/>
      <c r="CT20" s="100"/>
      <c r="CU20" s="81"/>
      <c r="CV20" s="101"/>
      <c r="CW20" s="101"/>
      <c r="CX20" s="101"/>
      <c r="CY20" s="101"/>
      <c r="CZ20" s="101"/>
      <c r="DA20" s="101"/>
      <c r="DB20" s="101"/>
      <c r="DC20" s="81"/>
      <c r="DD20" s="85"/>
      <c r="DE20" s="81"/>
      <c r="DF20" s="81"/>
      <c r="DG20" s="81"/>
      <c r="DH20" s="81"/>
      <c r="DI20" s="102"/>
      <c r="DJ20" s="81"/>
    </row>
    <row r="21" spans="1:114" s="75" customFormat="1" ht="3" customHeight="1" thickTop="1" thickBot="1" x14ac:dyDescent="0.35">
      <c r="B21" s="232"/>
      <c r="C21" s="86"/>
      <c r="D21" s="86"/>
      <c r="J21" s="86"/>
      <c r="K21" s="86"/>
      <c r="L21" s="86"/>
      <c r="M21" s="82"/>
      <c r="N21" s="82"/>
      <c r="AD21" s="11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81"/>
      <c r="BC21" s="99"/>
      <c r="BD21" s="99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</row>
    <row r="22" spans="1:114" s="75" customFormat="1" ht="18.75" customHeight="1" thickTop="1" thickBot="1" x14ac:dyDescent="0.35">
      <c r="A22" s="167"/>
      <c r="B22" s="138" t="s">
        <v>140</v>
      </c>
      <c r="C22" s="140"/>
      <c r="D22" s="140"/>
      <c r="E22" s="143">
        <v>1</v>
      </c>
      <c r="F22" s="134">
        <v>1</v>
      </c>
      <c r="G22" s="87"/>
      <c r="H22" s="88" t="s">
        <v>94</v>
      </c>
      <c r="J22" s="86"/>
      <c r="K22" s="86"/>
      <c r="L22" s="86"/>
      <c r="M22" s="82"/>
      <c r="N22" s="82"/>
      <c r="AD22" s="11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83"/>
      <c r="BC22" s="99"/>
      <c r="BD22" s="81"/>
      <c r="BE22" s="81"/>
      <c r="BF22" s="100"/>
      <c r="BG22" s="81"/>
      <c r="BH22" s="101"/>
      <c r="BI22" s="101"/>
      <c r="BJ22" s="101"/>
      <c r="BK22" s="101"/>
      <c r="BL22" s="101"/>
      <c r="BM22" s="101"/>
      <c r="BN22" s="101"/>
      <c r="BO22" s="81"/>
      <c r="BP22" s="85"/>
      <c r="BQ22" s="81"/>
      <c r="BR22" s="81"/>
      <c r="BS22" s="81"/>
      <c r="BT22" s="81"/>
      <c r="BU22" s="102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102"/>
      <c r="CH22" s="81"/>
      <c r="CI22" s="81"/>
      <c r="CJ22" s="81"/>
      <c r="CK22" s="102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</row>
    <row r="23" spans="1:114" s="75" customFormat="1" ht="10.5" customHeight="1" thickBot="1" x14ac:dyDescent="0.35">
      <c r="A23" s="167"/>
      <c r="B23" s="103" t="s">
        <v>19</v>
      </c>
      <c r="C23" s="141"/>
      <c r="D23" s="136"/>
      <c r="E23" s="130"/>
      <c r="F23" s="131"/>
      <c r="G23" s="104"/>
      <c r="H23" s="105"/>
      <c r="J23" s="86"/>
      <c r="K23" s="86"/>
      <c r="L23" s="86"/>
      <c r="M23" s="82"/>
      <c r="N23" s="82"/>
      <c r="AD23" s="11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81"/>
      <c r="BC23" s="99"/>
      <c r="BD23" s="99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</row>
    <row r="24" spans="1:114" s="75" customFormat="1" ht="18.75" customHeight="1" thickBot="1" x14ac:dyDescent="0.35">
      <c r="A24" s="167"/>
      <c r="B24" s="139" t="s">
        <v>116</v>
      </c>
      <c r="C24" s="142"/>
      <c r="D24" s="142"/>
      <c r="E24" s="144">
        <v>0</v>
      </c>
      <c r="F24" s="135">
        <v>0</v>
      </c>
      <c r="G24" s="107"/>
      <c r="H24" s="108"/>
      <c r="J24" s="226" t="s">
        <v>103</v>
      </c>
      <c r="K24" s="86"/>
      <c r="L24" s="86"/>
      <c r="M24" s="82"/>
      <c r="N24" s="82"/>
      <c r="S24" s="86"/>
      <c r="T24" s="86"/>
      <c r="U24" s="86"/>
      <c r="V24" s="86"/>
      <c r="W24" s="86"/>
      <c r="X24" s="86"/>
      <c r="Y24" s="86"/>
      <c r="AD24" s="11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83"/>
      <c r="BC24" s="99"/>
      <c r="BD24" s="81"/>
      <c r="BE24" s="81"/>
      <c r="BF24" s="100"/>
      <c r="BG24" s="81"/>
      <c r="BH24" s="101"/>
      <c r="BI24" s="101"/>
      <c r="BJ24" s="101"/>
      <c r="BK24" s="101"/>
      <c r="BL24" s="101"/>
      <c r="BM24" s="101"/>
      <c r="BN24" s="101"/>
      <c r="BO24" s="81"/>
      <c r="BP24" s="85"/>
      <c r="BQ24" s="81"/>
      <c r="BR24" s="81"/>
      <c r="BS24" s="81"/>
      <c r="BT24" s="81"/>
      <c r="BU24" s="102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102"/>
      <c r="CH24" s="81"/>
      <c r="CI24" s="81"/>
      <c r="CJ24" s="81"/>
      <c r="CK24" s="102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</row>
    <row r="25" spans="1:114" s="75" customFormat="1" ht="3" customHeight="1" thickTop="1" thickBot="1" x14ac:dyDescent="0.35">
      <c r="B25" s="86"/>
      <c r="C25" s="86"/>
      <c r="D25" s="86"/>
      <c r="J25" s="227"/>
      <c r="K25" s="86"/>
      <c r="L25" s="86"/>
      <c r="M25" s="82"/>
      <c r="N25" s="82"/>
      <c r="S25" s="86"/>
      <c r="T25" s="86"/>
      <c r="U25" s="86"/>
      <c r="V25" s="86"/>
      <c r="W25" s="86"/>
      <c r="X25" s="86"/>
      <c r="Y25" s="86"/>
      <c r="AD25" s="11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81"/>
      <c r="BC25" s="99"/>
      <c r="BD25" s="99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</row>
    <row r="26" spans="1:114" s="75" customFormat="1" ht="18.75" customHeight="1" thickTop="1" thickBot="1" x14ac:dyDescent="0.35">
      <c r="B26" s="86"/>
      <c r="C26" s="86"/>
      <c r="D26" s="86"/>
      <c r="J26" s="138" t="str">
        <f>IF(AL45&lt;2,"Winner QF 3",IF(AJ45=AJ47,"Winner QF 3",IF(F24="","Winner QF 3",(IF(AND(AX45=2,G24=""),"Winner QF 3",VLOOKUP(AI45,AJ45:AK47,2,0))))))</f>
        <v>DoTa</v>
      </c>
      <c r="K26" s="140"/>
      <c r="L26" s="140"/>
      <c r="M26" s="143">
        <v>2</v>
      </c>
      <c r="N26" s="134">
        <v>1</v>
      </c>
      <c r="O26" s="87"/>
      <c r="P26" s="88" t="s">
        <v>94</v>
      </c>
      <c r="S26" s="86"/>
      <c r="T26" s="86"/>
      <c r="U26" s="86"/>
      <c r="V26" s="86"/>
      <c r="W26" s="86"/>
      <c r="X26" s="86"/>
      <c r="Y26" s="86"/>
      <c r="AD26" s="11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83"/>
      <c r="BC26" s="99"/>
      <c r="BD26" s="81"/>
      <c r="BE26" s="81"/>
      <c r="BF26" s="100"/>
      <c r="BG26" s="81"/>
      <c r="BH26" s="101"/>
      <c r="BI26" s="101"/>
      <c r="BJ26" s="101"/>
      <c r="BK26" s="101"/>
      <c r="BL26" s="101"/>
      <c r="BM26" s="101"/>
      <c r="BN26" s="101"/>
      <c r="BO26" s="81"/>
      <c r="BP26" s="85"/>
      <c r="BQ26" s="81"/>
      <c r="BR26" s="81"/>
      <c r="BS26" s="81"/>
      <c r="BT26" s="81"/>
      <c r="BU26" s="102"/>
      <c r="BV26" s="81"/>
      <c r="BW26" s="99"/>
      <c r="BX26" s="81"/>
      <c r="BY26" s="81"/>
      <c r="BZ26" s="100"/>
      <c r="CA26" s="81"/>
      <c r="CB26" s="101"/>
      <c r="CC26" s="101"/>
      <c r="CD26" s="101"/>
      <c r="CE26" s="101"/>
      <c r="CF26" s="101"/>
      <c r="CG26" s="101"/>
      <c r="CH26" s="101"/>
      <c r="CI26" s="81"/>
      <c r="CJ26" s="85"/>
      <c r="CK26" s="81"/>
      <c r="CL26" s="81"/>
      <c r="CM26" s="81"/>
      <c r="CN26" s="81"/>
      <c r="CO26" s="102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</row>
    <row r="27" spans="1:114" s="75" customFormat="1" ht="10.5" customHeight="1" thickBot="1" x14ac:dyDescent="0.35">
      <c r="B27" s="86"/>
      <c r="C27" s="86"/>
      <c r="D27" s="86"/>
      <c r="J27" s="103" t="s">
        <v>19</v>
      </c>
      <c r="K27" s="141"/>
      <c r="L27" s="136"/>
      <c r="M27" s="130"/>
      <c r="N27" s="131"/>
      <c r="O27" s="104"/>
      <c r="P27" s="105"/>
      <c r="S27" s="86"/>
      <c r="T27" s="86"/>
      <c r="U27" s="86"/>
      <c r="V27" s="86"/>
      <c r="W27" s="86"/>
      <c r="X27" s="86"/>
      <c r="Y27" s="86"/>
      <c r="AD27" s="11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81"/>
      <c r="BC27" s="99"/>
      <c r="BD27" s="99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99"/>
      <c r="BX27" s="99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</row>
    <row r="28" spans="1:114" s="75" customFormat="1" ht="18.75" customHeight="1" thickBot="1" x14ac:dyDescent="0.35">
      <c r="B28" s="231" t="s">
        <v>101</v>
      </c>
      <c r="C28" s="86"/>
      <c r="D28" s="86"/>
      <c r="J28" s="139" t="str">
        <f>IF(AL49&lt;2,"Winner QF 4",IF(AJ49=AJ51,"Winner QF 4",IF(F32="","Winner QF 4",(IF(AND(AX49=2,G32=""),"Winner QF 4",VLOOKUP(AI49,AJ49:AK51,2,0))))))</f>
        <v>FRK Pawel</v>
      </c>
      <c r="K28" s="142"/>
      <c r="L28" s="142"/>
      <c r="M28" s="144">
        <v>0</v>
      </c>
      <c r="N28" s="135">
        <v>0</v>
      </c>
      <c r="O28" s="107"/>
      <c r="P28" s="108"/>
      <c r="S28" s="86"/>
      <c r="T28" s="86"/>
      <c r="U28" s="86"/>
      <c r="V28" s="86"/>
      <c r="W28" s="86"/>
      <c r="X28" s="86"/>
      <c r="Y28" s="86"/>
      <c r="AD28" s="11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83"/>
      <c r="BC28" s="99"/>
      <c r="BD28" s="81"/>
      <c r="BE28" s="81"/>
      <c r="BF28" s="100"/>
      <c r="BG28" s="81"/>
      <c r="BH28" s="101"/>
      <c r="BI28" s="101"/>
      <c r="BJ28" s="101"/>
      <c r="BK28" s="101"/>
      <c r="BL28" s="101"/>
      <c r="BM28" s="101"/>
      <c r="BN28" s="101"/>
      <c r="BO28" s="81"/>
      <c r="BP28" s="85"/>
      <c r="BQ28" s="81"/>
      <c r="BR28" s="81"/>
      <c r="BS28" s="81"/>
      <c r="BT28" s="81"/>
      <c r="BU28" s="102"/>
      <c r="BV28" s="81"/>
      <c r="BW28" s="99"/>
      <c r="BX28" s="81"/>
      <c r="BY28" s="81"/>
      <c r="BZ28" s="100"/>
      <c r="CA28" s="81"/>
      <c r="CB28" s="101"/>
      <c r="CC28" s="101"/>
      <c r="CD28" s="101"/>
      <c r="CE28" s="101"/>
      <c r="CF28" s="101"/>
      <c r="CG28" s="101"/>
      <c r="CH28" s="101"/>
      <c r="CI28" s="81"/>
      <c r="CJ28" s="85"/>
      <c r="CK28" s="81"/>
      <c r="CL28" s="81"/>
      <c r="CM28" s="81"/>
      <c r="CN28" s="81"/>
      <c r="CO28" s="102"/>
      <c r="CP28" s="81"/>
      <c r="CQ28" s="81"/>
      <c r="CR28" s="81"/>
      <c r="CS28" s="81"/>
      <c r="CT28" s="81"/>
      <c r="CU28" s="81"/>
      <c r="CV28" s="81"/>
      <c r="CW28" s="81"/>
      <c r="CX28" s="81"/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</row>
    <row r="29" spans="1:114" s="75" customFormat="1" ht="3" customHeight="1" thickTop="1" thickBot="1" x14ac:dyDescent="0.35">
      <c r="B29" s="232"/>
      <c r="C29" s="86"/>
      <c r="D29" s="86"/>
      <c r="M29" s="82"/>
      <c r="N29" s="82"/>
      <c r="S29" s="86"/>
      <c r="T29" s="86"/>
      <c r="U29" s="86"/>
      <c r="V29" s="86"/>
      <c r="W29" s="86"/>
      <c r="X29" s="86"/>
      <c r="Y29" s="86"/>
      <c r="AD29" s="11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81"/>
      <c r="BC29" s="99"/>
      <c r="BD29" s="99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</row>
    <row r="30" spans="1:114" s="75" customFormat="1" ht="18.75" customHeight="1" thickTop="1" thickBot="1" x14ac:dyDescent="0.35">
      <c r="A30" s="167"/>
      <c r="B30" s="138" t="s">
        <v>136</v>
      </c>
      <c r="C30" s="140"/>
      <c r="D30" s="140"/>
      <c r="E30" s="143">
        <v>1</v>
      </c>
      <c r="F30" s="134">
        <v>6</v>
      </c>
      <c r="G30" s="87"/>
      <c r="H30" s="88" t="s">
        <v>94</v>
      </c>
      <c r="M30" s="82"/>
      <c r="N30" s="82"/>
      <c r="S30" s="86"/>
      <c r="T30" s="86"/>
      <c r="U30" s="86"/>
      <c r="V30" s="86"/>
      <c r="W30" s="86"/>
      <c r="X30" s="86"/>
      <c r="Y30" s="86"/>
      <c r="AD30" s="11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83"/>
      <c r="BC30" s="99"/>
      <c r="BD30" s="81"/>
      <c r="BE30" s="81"/>
      <c r="BF30" s="100"/>
      <c r="BG30" s="81"/>
      <c r="BH30" s="101"/>
      <c r="BI30" s="101"/>
      <c r="BJ30" s="101"/>
      <c r="BK30" s="101"/>
      <c r="BL30" s="101"/>
      <c r="BM30" s="101"/>
      <c r="BN30" s="101"/>
      <c r="BO30" s="81"/>
      <c r="BP30" s="85"/>
      <c r="BQ30" s="81"/>
      <c r="BR30" s="81"/>
      <c r="BS30" s="81"/>
      <c r="BT30" s="81"/>
      <c r="BU30" s="102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102"/>
      <c r="CH30" s="81"/>
      <c r="CI30" s="81"/>
      <c r="CJ30" s="81"/>
      <c r="CK30" s="102"/>
      <c r="CL30" s="81"/>
      <c r="CM30" s="81"/>
      <c r="CN30" s="81"/>
      <c r="CO30" s="81"/>
      <c r="CP30" s="81"/>
      <c r="CQ30" s="99"/>
      <c r="CR30" s="81"/>
      <c r="CS30" s="81"/>
      <c r="CT30" s="100"/>
      <c r="CU30" s="81"/>
      <c r="CV30" s="101"/>
      <c r="CW30" s="101"/>
      <c r="CX30" s="101"/>
      <c r="CY30" s="101"/>
      <c r="CZ30" s="101"/>
      <c r="DA30" s="101"/>
      <c r="DB30" s="101"/>
      <c r="DC30" s="81"/>
      <c r="DD30" s="85"/>
      <c r="DE30" s="81"/>
      <c r="DF30" s="81"/>
      <c r="DG30" s="81"/>
      <c r="DH30" s="81"/>
      <c r="DI30" s="102"/>
      <c r="DJ30" s="81"/>
    </row>
    <row r="31" spans="1:114" s="75" customFormat="1" ht="10.5" customHeight="1" thickBot="1" x14ac:dyDescent="0.35">
      <c r="A31" s="167"/>
      <c r="B31" s="103" t="s">
        <v>19</v>
      </c>
      <c r="C31" s="141"/>
      <c r="D31" s="136"/>
      <c r="E31" s="130"/>
      <c r="F31" s="131"/>
      <c r="G31" s="104"/>
      <c r="H31" s="105"/>
      <c r="M31" s="82"/>
      <c r="N31" s="82"/>
      <c r="S31" s="86"/>
      <c r="T31" s="86"/>
      <c r="U31" s="86"/>
      <c r="V31" s="86"/>
      <c r="W31" s="86"/>
      <c r="X31" s="86"/>
      <c r="Y31" s="86"/>
      <c r="AD31" s="11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81"/>
      <c r="BC31" s="99"/>
      <c r="BD31" s="99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99"/>
      <c r="CR31" s="99"/>
      <c r="CS31" s="81"/>
      <c r="CT31" s="81"/>
      <c r="CU31" s="81"/>
      <c r="CV31" s="81"/>
      <c r="CW31" s="81"/>
      <c r="CX31" s="81"/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</row>
    <row r="32" spans="1:114" s="75" customFormat="1" ht="18.75" customHeight="1" thickBot="1" x14ac:dyDescent="0.35">
      <c r="A32" s="167"/>
      <c r="B32" s="139" t="s">
        <v>148</v>
      </c>
      <c r="C32" s="142"/>
      <c r="D32" s="142"/>
      <c r="E32" s="144">
        <v>1</v>
      </c>
      <c r="F32" s="135">
        <v>0</v>
      </c>
      <c r="G32" s="107"/>
      <c r="H32" s="108"/>
      <c r="M32" s="82"/>
      <c r="N32" s="82"/>
      <c r="S32" s="86"/>
      <c r="T32" s="86"/>
      <c r="U32" s="86"/>
      <c r="V32" s="86"/>
      <c r="W32" s="86"/>
      <c r="X32" s="86"/>
      <c r="Y32" s="86"/>
      <c r="AD32" s="11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83"/>
      <c r="BC32" s="99"/>
      <c r="BD32" s="81"/>
      <c r="BE32" s="81"/>
      <c r="BF32" s="100"/>
      <c r="BG32" s="81"/>
      <c r="BH32" s="101"/>
      <c r="BI32" s="101"/>
      <c r="BJ32" s="101"/>
      <c r="BK32" s="101"/>
      <c r="BL32" s="101"/>
      <c r="BM32" s="101"/>
      <c r="BN32" s="101"/>
      <c r="BO32" s="81"/>
      <c r="BP32" s="85"/>
      <c r="BQ32" s="81"/>
      <c r="BR32" s="81"/>
      <c r="BS32" s="81"/>
      <c r="BT32" s="81"/>
      <c r="BU32" s="102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102"/>
      <c r="CH32" s="81"/>
      <c r="CI32" s="81"/>
      <c r="CJ32" s="81"/>
      <c r="CK32" s="102"/>
      <c r="CL32" s="81"/>
      <c r="CM32" s="81"/>
      <c r="CN32" s="81"/>
      <c r="CO32" s="81"/>
      <c r="CP32" s="81"/>
      <c r="CQ32" s="99"/>
      <c r="CR32" s="81"/>
      <c r="CS32" s="81"/>
      <c r="CT32" s="100"/>
      <c r="CU32" s="81"/>
      <c r="CV32" s="101"/>
      <c r="CW32" s="101"/>
      <c r="CX32" s="101"/>
      <c r="CY32" s="101"/>
      <c r="CZ32" s="101"/>
      <c r="DA32" s="101"/>
      <c r="DB32" s="101"/>
      <c r="DC32" s="81"/>
      <c r="DD32" s="85"/>
      <c r="DE32" s="81"/>
      <c r="DF32" s="81"/>
      <c r="DG32" s="81"/>
      <c r="DH32" s="81"/>
      <c r="DI32" s="102"/>
      <c r="DJ32" s="81"/>
    </row>
    <row r="33" spans="13:114" s="75" customFormat="1" ht="3" customHeight="1" thickTop="1" x14ac:dyDescent="0.3">
      <c r="M33" s="82"/>
      <c r="N33" s="82"/>
      <c r="AD33" s="11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81"/>
      <c r="BC33" s="99"/>
      <c r="BD33" s="99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</row>
    <row r="34" spans="13:114" s="75" customFormat="1" ht="18.75" customHeight="1" x14ac:dyDescent="0.3">
      <c r="M34" s="82"/>
      <c r="N34" s="82"/>
      <c r="AD34" s="11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83"/>
      <c r="BC34" s="99"/>
      <c r="BD34" s="81"/>
      <c r="BE34" s="81"/>
      <c r="BF34" s="100"/>
      <c r="BG34" s="81"/>
      <c r="BH34" s="101"/>
      <c r="BI34" s="101"/>
      <c r="BJ34" s="101"/>
      <c r="BK34" s="101"/>
      <c r="BL34" s="101"/>
      <c r="BM34" s="101"/>
      <c r="BN34" s="101"/>
      <c r="BO34" s="81"/>
      <c r="BP34" s="85"/>
      <c r="BQ34" s="81"/>
      <c r="BR34" s="81"/>
      <c r="BS34" s="81"/>
      <c r="BT34" s="81"/>
      <c r="BU34" s="102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102"/>
      <c r="CH34" s="81"/>
      <c r="CI34" s="81"/>
      <c r="CJ34" s="81"/>
      <c r="CK34" s="102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</row>
    <row r="36" spans="13:114" ht="23.4" thickBot="1" x14ac:dyDescent="0.35">
      <c r="AE36" s="75"/>
      <c r="AF36" s="75"/>
      <c r="AG36" s="75"/>
      <c r="AH36" s="75"/>
      <c r="AI36" s="75"/>
      <c r="AJ36" s="83" t="s">
        <v>88</v>
      </c>
      <c r="AK36" s="83" t="s">
        <v>35</v>
      </c>
      <c r="AL36" s="83" t="s">
        <v>73</v>
      </c>
      <c r="AM36" s="83" t="s">
        <v>52</v>
      </c>
      <c r="AN36" s="83" t="s">
        <v>53</v>
      </c>
      <c r="AO36" s="83" t="s">
        <v>54</v>
      </c>
      <c r="AP36" s="83" t="s">
        <v>70</v>
      </c>
      <c r="AQ36" s="83" t="s">
        <v>69</v>
      </c>
      <c r="AR36" s="83" t="s">
        <v>57</v>
      </c>
      <c r="AS36" s="83" t="s">
        <v>58</v>
      </c>
      <c r="AT36" s="83"/>
      <c r="AU36" s="84" t="s">
        <v>89</v>
      </c>
      <c r="AV36" s="84" t="s">
        <v>90</v>
      </c>
      <c r="AW36" s="84" t="s">
        <v>96</v>
      </c>
      <c r="AX36" s="84" t="s">
        <v>97</v>
      </c>
      <c r="AY36" s="84" t="s">
        <v>91</v>
      </c>
      <c r="AZ36" s="84" t="s">
        <v>92</v>
      </c>
      <c r="BA36" s="84" t="s">
        <v>93</v>
      </c>
    </row>
    <row r="37" spans="13:114" x14ac:dyDescent="0.3">
      <c r="AE37" s="89">
        <f>IF(AG37="",0,IF(AG39&lt;AG37,3,IF(AG39=AG37,1,0)))</f>
        <v>3</v>
      </c>
      <c r="AF37" s="89">
        <f>IF(AH37="",0,IF(AH39&lt;AH37,3,IF(AH39=AH37,1,0)))</f>
        <v>0</v>
      </c>
      <c r="AG37" s="86">
        <f>IF(E6="","",IF(E8="","",E6))</f>
        <v>3</v>
      </c>
      <c r="AH37" s="86">
        <f>IF(F6="","",IF(F8="","",F6))</f>
        <v>1</v>
      </c>
      <c r="AI37" s="86">
        <v>1</v>
      </c>
      <c r="AJ37" s="90">
        <f>IF(BA37="","",RANK(BA37,$BA37:$BA39,1))</f>
        <v>1</v>
      </c>
      <c r="AK37" s="91" t="str">
        <f>B6</f>
        <v>Dennis</v>
      </c>
      <c r="AL37" s="92">
        <f>SUM(AM37:AO37)</f>
        <v>2</v>
      </c>
      <c r="AM37" s="93">
        <f>SUMPRODUCT(($B6=$AK37)*($AG37&gt;$AG39))+SUMPRODUCT(($B8=$AK37)*($AG37&lt;$AG39))+SUMPRODUCT(($B6=$AK37)*($AH37&gt;$AH39))+SUMPRODUCT(($B8=$AK37)*($AH37&lt;$AH39))</f>
        <v>1</v>
      </c>
      <c r="AN37" s="93">
        <f>SUMPRODUCT(($B6=$AK37)*($AG37=$AG39)*($AG37&lt;&gt;""))+SUMPRODUCT(($B8=$AK37)*($AG37=$AG39)*($AG37&lt;&gt;""))+SUMPRODUCT(($B6=$AK37)*($AH37=$AH39)*($AH37&lt;&gt;""))+SUMPRODUCT(($B8=$AK37)*($AH37=$AH39)*($AG37&lt;&gt;""))</f>
        <v>0</v>
      </c>
      <c r="AO37" s="93">
        <f>SUMPRODUCT(($B6=$AK37)*($AG37&lt;$AG39))+SUMPRODUCT(($B8=$AK37)*($AG37&gt;$AG39))+SUMPRODUCT(($B6=$AK37)*($AH37&lt;$AH39))+SUMPRODUCT(($B8=$AK37)*($AH37&gt;$AH39))</f>
        <v>1</v>
      </c>
      <c r="AP37" s="93">
        <f>AG37+AH37</f>
        <v>4</v>
      </c>
      <c r="AQ37" s="93">
        <f>AG39+AH39</f>
        <v>3</v>
      </c>
      <c r="AR37" s="93">
        <f>AP37-AQ37</f>
        <v>1</v>
      </c>
      <c r="AS37" s="94">
        <f>AM37*3+AN37</f>
        <v>3</v>
      </c>
      <c r="AT37" s="95">
        <f>AJ37</f>
        <v>1</v>
      </c>
      <c r="AU37" s="96">
        <f>IF(AK37="","",VALUE(CONCATENATE(TEXT(RANK(AS37,$AS37:$AS39),"00"))))</f>
        <v>1</v>
      </c>
      <c r="AV37" s="97">
        <f>COUNTIF($AU37:$AU39,AU37)</f>
        <v>2</v>
      </c>
      <c r="AW37" s="96">
        <f>RANK(AR37,$AR37:$AR39)</f>
        <v>1</v>
      </c>
      <c r="AX37" s="97">
        <f>COUNTIF($AW37:$AW39,AW37)</f>
        <v>1</v>
      </c>
      <c r="AY37" s="97" t="str">
        <f>IF(AX37=1,"",SUM(($B6=$AK37)*(NOT(ISNA(MATCH($B8,IF($AV37:$AV39&gt;1,$AK37:$AK39,0),0))))*($G6))+SUM(($B8=$AK37)*(NOT(ISNA(MATCH($B6,IF($AV37:$AV39&gt;1,$AK37:$AK39,0),0))))*($G8)))</f>
        <v/>
      </c>
      <c r="AZ37" s="96" t="str">
        <f>IF(AY37="","",RANK(AY37,$AY37:$AY39))</f>
        <v/>
      </c>
      <c r="BA37" s="98">
        <f>VALUE(AU37&amp;AW37&amp;AZ37)</f>
        <v>11</v>
      </c>
    </row>
    <row r="38" spans="13:114" ht="3" customHeight="1" x14ac:dyDescent="0.3">
      <c r="AE38" s="99"/>
      <c r="AF38" s="99"/>
      <c r="AG38" s="99"/>
      <c r="AH38" s="99"/>
      <c r="AI38" s="86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</row>
    <row r="39" spans="13:114" ht="15" thickBot="1" x14ac:dyDescent="0.35">
      <c r="AE39" s="89">
        <f>IF(AG39="",0,IF(AG37&lt;AG39,3,IF(AG37=AG39,1,0)))</f>
        <v>0</v>
      </c>
      <c r="AF39" s="89">
        <f>IF(AH39="",0,IF(AH37&lt;AH39,3,IF(AH37=AH39,1,0)))</f>
        <v>3</v>
      </c>
      <c r="AG39" s="86">
        <f>IF(E6="","",IF(E8="","",E8))</f>
        <v>1</v>
      </c>
      <c r="AH39" s="86">
        <f>IF(F6="","",IF(F8="","",F8))</f>
        <v>2</v>
      </c>
      <c r="AI39" s="86">
        <v>2</v>
      </c>
      <c r="AJ39" s="111">
        <f>IF(BA39="","",RANK(BA39,$BA37:$BA39,1))</f>
        <v>2</v>
      </c>
      <c r="AK39" s="112" t="str">
        <f>B8</f>
        <v>Egebjerg Luxus</v>
      </c>
      <c r="AL39" s="113">
        <f>SUM(AM39:AO39)</f>
        <v>2</v>
      </c>
      <c r="AM39" s="114">
        <f>AO37</f>
        <v>1</v>
      </c>
      <c r="AN39" s="114">
        <f>AN37</f>
        <v>0</v>
      </c>
      <c r="AO39" s="114">
        <f>AM37</f>
        <v>1</v>
      </c>
      <c r="AP39" s="114">
        <f>AG39+AH39</f>
        <v>3</v>
      </c>
      <c r="AQ39" s="114">
        <f>AG37+AH37</f>
        <v>4</v>
      </c>
      <c r="AR39" s="114">
        <f>AP39-AQ39</f>
        <v>-1</v>
      </c>
      <c r="AS39" s="115">
        <f>AM39*3+AN39</f>
        <v>3</v>
      </c>
      <c r="AT39" s="95">
        <f>AJ39</f>
        <v>2</v>
      </c>
      <c r="AU39" s="96">
        <f>IF(AK39="","",VALUE(CONCATENATE(TEXT(RANK(AS39,$AS37:$AS39),"00"))))</f>
        <v>1</v>
      </c>
      <c r="AV39" s="97">
        <f>COUNTIF($AU37:$AU39,AU39)</f>
        <v>2</v>
      </c>
      <c r="AW39" s="96">
        <f>RANK(AR39,$AR37:$AR39)</f>
        <v>2</v>
      </c>
      <c r="AX39" s="97">
        <f>COUNTIF($AW37:$AW39,AW39)</f>
        <v>1</v>
      </c>
      <c r="AY39" s="97" t="str">
        <f>IF(AX39=1,"",SUM(($B6=$AK39)*(NOT(ISNA(MATCH($B8,IF($AV37:$AV39&gt;1,$AK37:$AK39,0),0))))*($G6))+SUM(($B8=$AK39)*(NOT(ISNA(MATCH($B6,IF($AV37:$AV39&gt;1,$AK37:$AK39,0),0))))*($G8)))</f>
        <v/>
      </c>
      <c r="AZ39" s="96" t="str">
        <f>IF(AY39="","",RANK(AY39,$AY37:$AY39))</f>
        <v/>
      </c>
      <c r="BA39" s="98">
        <f>VALUE(AU39&amp;AW39&amp;AZ39)</f>
        <v>12</v>
      </c>
    </row>
    <row r="40" spans="13:114" ht="10.199999999999999" customHeight="1" thickBot="1" x14ac:dyDescent="0.35"/>
    <row r="41" spans="13:114" x14ac:dyDescent="0.3">
      <c r="AE41" s="89">
        <f>IF(AG41="",0,IF(AG43&lt;AG41,3,IF(AG43=AG41,1,0)))</f>
        <v>3</v>
      </c>
      <c r="AF41" s="89">
        <f>IF(AH41="",0,IF(AH43&lt;AH41,3,IF(AH43=AH41,1,0)))</f>
        <v>0</v>
      </c>
      <c r="AG41" s="86">
        <f>IF(E14="","",IF(E16="","",E14))</f>
        <v>4</v>
      </c>
      <c r="AH41" s="86">
        <f>IF(F14="","",IF(F16="","",F14))</f>
        <v>1</v>
      </c>
      <c r="AI41" s="86">
        <v>1</v>
      </c>
      <c r="AJ41" s="90">
        <f>IF(BA41="","",RANK(BA41,$BA41:$BA43,1))</f>
        <v>1</v>
      </c>
      <c r="AK41" s="91" t="str">
        <f>B14</f>
        <v>Paider</v>
      </c>
      <c r="AL41" s="92">
        <f>SUM(AM41:AO41)</f>
        <v>2</v>
      </c>
      <c r="AM41" s="93">
        <f>SUMPRODUCT(($B14=$AK41)*($AG41&gt;$AG43))+SUMPRODUCT(($B16=$AK41)*($AG41&lt;$AG43))+SUMPRODUCT(($B14=$AK41)*($AH41&gt;$AH43))+SUMPRODUCT(($B16=$AK41)*($AH41&lt;$AH43))</f>
        <v>1</v>
      </c>
      <c r="AN41" s="93">
        <f>SUMPRODUCT(($B14=$AK41)*($AG41=$AG43)*($AG41&lt;&gt;""))+SUMPRODUCT(($B16=$AK41)*($AG41=$AG43)*($AG41&lt;&gt;""))+SUMPRODUCT(($B14=$AK41)*($AH41=$AH43)*($AH41&lt;&gt;""))+SUMPRODUCT(($B16=$AK41)*($AH41=$AH43)*($AG41&lt;&gt;""))</f>
        <v>0</v>
      </c>
      <c r="AO41" s="93">
        <f>SUMPRODUCT(($B14=$AK41)*($AG41&lt;$AG43))+SUMPRODUCT(($B16=$AK41)*($AG41&gt;$AG43))+SUMPRODUCT(($B14=$AK41)*($AH41&lt;$AH43))+SUMPRODUCT(($B16=$AK41)*($AH41&gt;$AH43))</f>
        <v>1</v>
      </c>
      <c r="AP41" s="93">
        <f>AG41+AH41</f>
        <v>5</v>
      </c>
      <c r="AQ41" s="93">
        <f>AG43+AH43</f>
        <v>4</v>
      </c>
      <c r="AR41" s="93">
        <f>AP41-AQ41</f>
        <v>1</v>
      </c>
      <c r="AS41" s="94">
        <f>AM41*3+AN41</f>
        <v>3</v>
      </c>
      <c r="AT41" s="95">
        <f>AJ41</f>
        <v>1</v>
      </c>
      <c r="AU41" s="96">
        <f>IF(AK41="","",VALUE(CONCATENATE(TEXT(RANK(AS41,$AS41:$AS43),"00"))))</f>
        <v>1</v>
      </c>
      <c r="AV41" s="97">
        <f>COUNTIF($AU41:$AU43,AU41)</f>
        <v>2</v>
      </c>
      <c r="AW41" s="96">
        <f>RANK(AR41,$AR41:$AR43)</f>
        <v>1</v>
      </c>
      <c r="AX41" s="97">
        <f>COUNTIF($AW41:$AW43,AW41)</f>
        <v>1</v>
      </c>
      <c r="AY41" s="97" t="str">
        <f>IF(AX41=1,"",SUM(($B14=$AK41)*(NOT(ISNA(MATCH($B16,IF($AV41:$AV43&gt;1,$AK41:$AK43,0),0))))*($G14))+SUM(($B16=$AK41)*(NOT(ISNA(MATCH($B14,IF($AV41:$AV43&gt;1,$AK41:$AK43,0),0))))*($G16)))</f>
        <v/>
      </c>
      <c r="AZ41" s="96" t="str">
        <f>IF(AY41="","",RANK(AY41,$AY41:$AY43))</f>
        <v/>
      </c>
      <c r="BA41" s="98">
        <f>VALUE(AU41&amp;AW41&amp;AZ41)</f>
        <v>11</v>
      </c>
    </row>
    <row r="42" spans="13:114" ht="3" customHeight="1" x14ac:dyDescent="0.3">
      <c r="AE42" s="99"/>
      <c r="AF42" s="99"/>
      <c r="AG42" s="99"/>
      <c r="AH42" s="99"/>
      <c r="AI42" s="86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</row>
    <row r="43" spans="13:114" ht="15" thickBot="1" x14ac:dyDescent="0.35">
      <c r="AE43" s="89">
        <f>IF(AG43="",0,IF(AG41&lt;AG43,3,IF(AG41=AG43,1,0)))</f>
        <v>0</v>
      </c>
      <c r="AF43" s="89">
        <f>IF(AH43="",0,IF(AH41&lt;AH43,3,IF(AH41=AH43,1,0)))</f>
        <v>3</v>
      </c>
      <c r="AG43" s="86">
        <f>IF(E14="","",IF(E16="","",E16))</f>
        <v>0</v>
      </c>
      <c r="AH43" s="86">
        <f>IF(F14="","",IF(F16="","",F16))</f>
        <v>4</v>
      </c>
      <c r="AI43" s="86">
        <v>2</v>
      </c>
      <c r="AJ43" s="111">
        <f>IF(BA43="","",RANK(BA43,$BA41:$BA43,1))</f>
        <v>2</v>
      </c>
      <c r="AK43" s="112" t="str">
        <f>B16</f>
        <v>Leoninho</v>
      </c>
      <c r="AL43" s="113">
        <f>SUM(AM43:AO43)</f>
        <v>2</v>
      </c>
      <c r="AM43" s="114">
        <f>AO41</f>
        <v>1</v>
      </c>
      <c r="AN43" s="114">
        <f>AN41</f>
        <v>0</v>
      </c>
      <c r="AO43" s="114">
        <f>AM41</f>
        <v>1</v>
      </c>
      <c r="AP43" s="114">
        <f>AG43+AH43</f>
        <v>4</v>
      </c>
      <c r="AQ43" s="114">
        <f>AG41+AH41</f>
        <v>5</v>
      </c>
      <c r="AR43" s="114">
        <f>AP43-AQ43</f>
        <v>-1</v>
      </c>
      <c r="AS43" s="115">
        <f>AM43*3+AN43</f>
        <v>3</v>
      </c>
      <c r="AT43" s="95">
        <f>AJ43</f>
        <v>2</v>
      </c>
      <c r="AU43" s="96">
        <f>IF(AK43="","",VALUE(CONCATENATE(TEXT(RANK(AS43,$AS41:$AS43),"00"))))</f>
        <v>1</v>
      </c>
      <c r="AV43" s="97">
        <f>COUNTIF($AU41:$AU43,AU43)</f>
        <v>2</v>
      </c>
      <c r="AW43" s="96">
        <f>RANK(AR43,$AR41:$AR43)</f>
        <v>2</v>
      </c>
      <c r="AX43" s="97">
        <f>COUNTIF($AW41:$AW43,AW43)</f>
        <v>1</v>
      </c>
      <c r="AY43" s="97" t="str">
        <f>IF(AX43=1,"",SUM(($B14=$AK43)*(NOT(ISNA(MATCH($B16,IF($AV41:$AV43&gt;1,$AK41:$AK43,0),0))))*($G14))+SUM(($B16=$AK43)*(NOT(ISNA(MATCH($B14,IF($AV41:$AV43&gt;1,$AK41:$AK43,0),0))))*($G16)))</f>
        <v/>
      </c>
      <c r="AZ43" s="96" t="str">
        <f>IF(AY43="","",RANK(AY43,$AY41:$AY43))</f>
        <v/>
      </c>
      <c r="BA43" s="98">
        <f>VALUE(AU43&amp;AW43&amp;AZ43)</f>
        <v>12</v>
      </c>
    </row>
    <row r="44" spans="13:114" ht="10.199999999999999" customHeight="1" thickBot="1" x14ac:dyDescent="0.35"/>
    <row r="45" spans="13:114" x14ac:dyDescent="0.3">
      <c r="AE45" s="89">
        <f>IF(AG45="",0,IF(AG47&lt;AG45,3,IF(AG47=AG45,1,0)))</f>
        <v>3</v>
      </c>
      <c r="AF45" s="89">
        <f>IF(AH45="",0,IF(AH47&lt;AH45,3,IF(AH47=AH45,1,0)))</f>
        <v>3</v>
      </c>
      <c r="AG45" s="86">
        <f>IF(E22="","",IF(E24="","",E22))</f>
        <v>1</v>
      </c>
      <c r="AH45" s="86">
        <f>IF(F22="","",IF(F24="","",F22))</f>
        <v>1</v>
      </c>
      <c r="AI45" s="86">
        <v>1</v>
      </c>
      <c r="AJ45" s="90">
        <f>IF(BA45="","",RANK(BA45,$BA45:$BA47,1))</f>
        <v>1</v>
      </c>
      <c r="AK45" s="91" t="str">
        <f>B22</f>
        <v>DoTa</v>
      </c>
      <c r="AL45" s="92">
        <f>SUM(AM45:AO45)</f>
        <v>2</v>
      </c>
      <c r="AM45" s="93">
        <f>SUMPRODUCT(($B22=$AK45)*($AG45&gt;$AG47))+SUMPRODUCT(($B24=$AK45)*($AG45&lt;$AG47))+SUMPRODUCT(($B22=$AK45)*($AH45&gt;$AH47))+SUMPRODUCT(($B24=$AK45)*($AH45&lt;$AH47))</f>
        <v>2</v>
      </c>
      <c r="AN45" s="93">
        <f>SUMPRODUCT(($B22=$AK45)*($AG45=$AG47)*($AG45&lt;&gt;""))+SUMPRODUCT(($B24=$AK45)*($AG45=$AG47)*($AG45&lt;&gt;""))+SUMPRODUCT(($B22=$AK45)*($AH45=$AH47)*($AH45&lt;&gt;""))+SUMPRODUCT(($B24=$AK45)*($AH45=$AH47)*($AG45&lt;&gt;""))</f>
        <v>0</v>
      </c>
      <c r="AO45" s="93">
        <f>SUMPRODUCT(($B22=$AK45)*($AG45&lt;$AG47))+SUMPRODUCT(($B24=$AK45)*($AG45&gt;$AG47))+SUMPRODUCT(($B22=$AK45)*($AH45&lt;$AH47))+SUMPRODUCT(($B24=$AK45)*($AH45&gt;$AH47))</f>
        <v>0</v>
      </c>
      <c r="AP45" s="93">
        <f>AG45+AH45</f>
        <v>2</v>
      </c>
      <c r="AQ45" s="93">
        <f>AG47+AH47</f>
        <v>0</v>
      </c>
      <c r="AR45" s="93">
        <f>AP45-AQ45</f>
        <v>2</v>
      </c>
      <c r="AS45" s="94">
        <f>AM45*3+AN45</f>
        <v>6</v>
      </c>
      <c r="AT45" s="95">
        <f>AJ45</f>
        <v>1</v>
      </c>
      <c r="AU45" s="96">
        <f>IF(AK45="","",VALUE(CONCATENATE(TEXT(RANK(AS45,$AS45:$AS47),"00"))))</f>
        <v>1</v>
      </c>
      <c r="AV45" s="97">
        <f>COUNTIF($AU45:$AU47,AU45)</f>
        <v>1</v>
      </c>
      <c r="AW45" s="96">
        <f>RANK(AR45,$AR45:$AR47)</f>
        <v>1</v>
      </c>
      <c r="AX45" s="97">
        <f>COUNTIF($AW45:$AW47,AW45)</f>
        <v>1</v>
      </c>
      <c r="AY45" s="97" t="str">
        <f>IF(AX45=1,"",SUM(($B22=$AK45)*(NOT(ISNA(MATCH($B24,IF($AV45:$AV47&gt;1,$AK45:$AK47,0),0))))*($G22))+SUM(($B24=$AK45)*(NOT(ISNA(MATCH($B22,IF($AV45:$AV47&gt;1,$AK45:$AK47,0),0))))*($G24)))</f>
        <v/>
      </c>
      <c r="AZ45" s="96" t="str">
        <f>IF(AY45="","",RANK(AY45,$AY45:$AY47))</f>
        <v/>
      </c>
      <c r="BA45" s="98">
        <f>VALUE(AU45&amp;AW45&amp;AZ45)</f>
        <v>11</v>
      </c>
    </row>
    <row r="46" spans="13:114" ht="3" customHeight="1" x14ac:dyDescent="0.3">
      <c r="AE46" s="99"/>
      <c r="AF46" s="99"/>
      <c r="AG46" s="99"/>
      <c r="AH46" s="99"/>
      <c r="AI46" s="86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</row>
    <row r="47" spans="13:114" ht="15" thickBot="1" x14ac:dyDescent="0.35">
      <c r="AE47" s="89">
        <f>IF(AG47="",0,IF(AG45&lt;AG47,3,IF(AG45=AG47,1,0)))</f>
        <v>0</v>
      </c>
      <c r="AF47" s="89">
        <f>IF(AH47="",0,IF(AH45&lt;AH47,3,IF(AH45=AH47,1,0)))</f>
        <v>0</v>
      </c>
      <c r="AG47" s="86">
        <f>IF(E22="","",IF(E24="","",E24))</f>
        <v>0</v>
      </c>
      <c r="AH47" s="86">
        <f>IF(F22="","",IF(F24="","",F24))</f>
        <v>0</v>
      </c>
      <c r="AI47" s="86">
        <v>2</v>
      </c>
      <c r="AJ47" s="111">
        <f>IF(BA47="","",RANK(BA47,$BA45:$BA47,1))</f>
        <v>2</v>
      </c>
      <c r="AK47" s="112" t="str">
        <f>B24</f>
        <v>FC Sandkagen</v>
      </c>
      <c r="AL47" s="113">
        <f>SUM(AM47:AO47)</f>
        <v>2</v>
      </c>
      <c r="AM47" s="114">
        <f>AO45</f>
        <v>0</v>
      </c>
      <c r="AN47" s="114">
        <f>AN45</f>
        <v>0</v>
      </c>
      <c r="AO47" s="114">
        <f>AM45</f>
        <v>2</v>
      </c>
      <c r="AP47" s="114">
        <f>AG47+AH47</f>
        <v>0</v>
      </c>
      <c r="AQ47" s="114">
        <f>AG45+AH45</f>
        <v>2</v>
      </c>
      <c r="AR47" s="114">
        <f>AP47-AQ47</f>
        <v>-2</v>
      </c>
      <c r="AS47" s="115">
        <f>AM47*3+AN47</f>
        <v>0</v>
      </c>
      <c r="AT47" s="95">
        <f>AJ47</f>
        <v>2</v>
      </c>
      <c r="AU47" s="96">
        <f>IF(AK47="","",VALUE(CONCATENATE(TEXT(RANK(AS47,$AS45:$AS47),"00"))))</f>
        <v>2</v>
      </c>
      <c r="AV47" s="97">
        <f>COUNTIF($AU45:$AU47,AU47)</f>
        <v>1</v>
      </c>
      <c r="AW47" s="96">
        <f>RANK(AR47,$AR45:$AR47)</f>
        <v>2</v>
      </c>
      <c r="AX47" s="97">
        <f>COUNTIF($AW45:$AW47,AW47)</f>
        <v>1</v>
      </c>
      <c r="AY47" s="97" t="str">
        <f>IF(AX47=1,"",SUM(($B22=$AK47)*(NOT(ISNA(MATCH($B24,IF($AV45:$AV47&gt;1,$AK45:$AK47,0),0))))*($G22))+SUM(($B24=$AK47)*(NOT(ISNA(MATCH($B22,IF($AV45:$AV47&gt;1,$AK45:$AK47,0),0))))*($G24)))</f>
        <v/>
      </c>
      <c r="AZ47" s="96" t="str">
        <f>IF(AY47="","",RANK(AY47,$AY45:$AY47))</f>
        <v/>
      </c>
      <c r="BA47" s="98">
        <f>VALUE(AU47&amp;AW47&amp;AZ47)</f>
        <v>22</v>
      </c>
    </row>
    <row r="48" spans="13:114" ht="10.199999999999999" customHeight="1" thickBot="1" x14ac:dyDescent="0.35"/>
    <row r="49" spans="31:53" x14ac:dyDescent="0.3">
      <c r="AE49" s="89">
        <f>IF(AG49="",0,IF(AG51&lt;AG49,3,IF(AG51=AG49,1,0)))</f>
        <v>1</v>
      </c>
      <c r="AF49" s="89">
        <f>IF(AH49="",0,IF(AH51&lt;AH49,3,IF(AH51=AH49,1,0)))</f>
        <v>3</v>
      </c>
      <c r="AG49" s="86">
        <f>IF(E30="","",IF(E32="","",E30))</f>
        <v>1</v>
      </c>
      <c r="AH49" s="86">
        <f>IF(F30="","",IF(F32="","",F30))</f>
        <v>6</v>
      </c>
      <c r="AI49" s="86">
        <v>1</v>
      </c>
      <c r="AJ49" s="90">
        <f>IF(BA49="","",RANK(BA49,$BA49:$BA51,1))</f>
        <v>1</v>
      </c>
      <c r="AK49" s="91" t="str">
        <f>B30</f>
        <v>FRK Pawel</v>
      </c>
      <c r="AL49" s="92">
        <f>SUM(AM49:AO49)</f>
        <v>2</v>
      </c>
      <c r="AM49" s="93">
        <f>SUMPRODUCT(($B30=$AK49)*($AG49&gt;$AG51))+SUMPRODUCT(($B32=$AK49)*($AG49&lt;$AG51))+SUMPRODUCT(($B30=$AK49)*($AH49&gt;$AH51))+SUMPRODUCT(($B32=$AK49)*($AH49&lt;$AH51))</f>
        <v>1</v>
      </c>
      <c r="AN49" s="93">
        <f>SUMPRODUCT(($B30=$AK49)*($AG49=$AG51)*($AG49&lt;&gt;""))+SUMPRODUCT(($B32=$AK49)*($AG49=$AG51)*($AG49&lt;&gt;""))+SUMPRODUCT(($B30=$AK49)*($AH49=$AH51)*($AH49&lt;&gt;""))+SUMPRODUCT(($B32=$AK49)*($AH49=$AH51)*($AG49&lt;&gt;""))</f>
        <v>1</v>
      </c>
      <c r="AO49" s="93">
        <f>SUMPRODUCT(($B30=$AK49)*($AG49&lt;$AG51))+SUMPRODUCT(($B32=$AK49)*($AG49&gt;$AG51))+SUMPRODUCT(($B30=$AK49)*($AH49&lt;$AH51))+SUMPRODUCT(($B32=$AK49)*($AH49&gt;$AH51))</f>
        <v>0</v>
      </c>
      <c r="AP49" s="93">
        <f>AG49+AH49</f>
        <v>7</v>
      </c>
      <c r="AQ49" s="93">
        <f>AG51+AH51</f>
        <v>1</v>
      </c>
      <c r="AR49" s="93">
        <f>AP49-AQ49</f>
        <v>6</v>
      </c>
      <c r="AS49" s="94">
        <f>AM49*3+AN49</f>
        <v>4</v>
      </c>
      <c r="AT49" s="95">
        <f>AJ49</f>
        <v>1</v>
      </c>
      <c r="AU49" s="96">
        <f>IF(AK49="","",VALUE(CONCATENATE(TEXT(RANK(AS49,$AS49:$AS51),"00"))))</f>
        <v>1</v>
      </c>
      <c r="AV49" s="97">
        <f>COUNTIF($AU49:$AU51,AU49)</f>
        <v>1</v>
      </c>
      <c r="AW49" s="96">
        <f>RANK(AR49,$AR49:$AR51)</f>
        <v>1</v>
      </c>
      <c r="AX49" s="97">
        <f>COUNTIF($AW49:$AW51,AW49)</f>
        <v>1</v>
      </c>
      <c r="AY49" s="97" t="str">
        <f>IF(AX49=1,"",SUM(($B30=$AK49)*(NOT(ISNA(MATCH($B32,IF($AV49:$AV51&gt;1,$AK49:$AK51,0),0))))*($G30))+SUM(($B32=$AK49)*(NOT(ISNA(MATCH($B30,IF($AV49:$AV51&gt;1,$AK49:$AK51,0),0))))*($G32)))</f>
        <v/>
      </c>
      <c r="AZ49" s="96" t="str">
        <f>IF(AY49="","",RANK(AY49,$AY49:$AY51))</f>
        <v/>
      </c>
      <c r="BA49" s="98">
        <f>VALUE(AU49&amp;AW49&amp;AZ49)</f>
        <v>11</v>
      </c>
    </row>
    <row r="50" spans="31:53" ht="3" customHeight="1" x14ac:dyDescent="0.3">
      <c r="AE50" s="99"/>
      <c r="AF50" s="99"/>
      <c r="AG50" s="99"/>
      <c r="AH50" s="99"/>
      <c r="AI50" s="86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</row>
    <row r="51" spans="31:53" ht="15" thickBot="1" x14ac:dyDescent="0.35">
      <c r="AE51" s="89">
        <f>IF(AG51="",0,IF(AG49&lt;AG51,3,IF(AG49=AG51,1,0)))</f>
        <v>1</v>
      </c>
      <c r="AF51" s="89">
        <f>IF(AH51="",0,IF(AH49&lt;AH51,3,IF(AH49=AH51,1,0)))</f>
        <v>0</v>
      </c>
      <c r="AG51" s="86">
        <f>IF(E30="","",IF(E32="","",E32))</f>
        <v>1</v>
      </c>
      <c r="AH51" s="86">
        <f>IF(F30="","",IF(F32="","",F32))</f>
        <v>0</v>
      </c>
      <c r="AI51" s="86">
        <v>2</v>
      </c>
      <c r="AJ51" s="111">
        <f>IF(BA51="","",RANK(BA51,$BA49:$BA51,1))</f>
        <v>2</v>
      </c>
      <c r="AK51" s="112" t="str">
        <f>B32</f>
        <v>Enbino</v>
      </c>
      <c r="AL51" s="113">
        <f>SUM(AM51:AO51)</f>
        <v>2</v>
      </c>
      <c r="AM51" s="114">
        <f>AO49</f>
        <v>0</v>
      </c>
      <c r="AN51" s="114">
        <f>AN49</f>
        <v>1</v>
      </c>
      <c r="AO51" s="114">
        <f>AM49</f>
        <v>1</v>
      </c>
      <c r="AP51" s="114">
        <f>AG51+AH51</f>
        <v>1</v>
      </c>
      <c r="AQ51" s="114">
        <f>AG49+AH49</f>
        <v>7</v>
      </c>
      <c r="AR51" s="114">
        <f>AP51-AQ51</f>
        <v>-6</v>
      </c>
      <c r="AS51" s="115">
        <f>AM51*3+AN51</f>
        <v>1</v>
      </c>
      <c r="AT51" s="95">
        <f>AJ51</f>
        <v>2</v>
      </c>
      <c r="AU51" s="96">
        <f>IF(AK51="","",VALUE(CONCATENATE(TEXT(RANK(AS51,$AS49:$AS51),"00"))))</f>
        <v>2</v>
      </c>
      <c r="AV51" s="97">
        <f>COUNTIF($AU49:$AU51,AU51)</f>
        <v>1</v>
      </c>
      <c r="AW51" s="96">
        <f>RANK(AR51,$AR49:$AR51)</f>
        <v>2</v>
      </c>
      <c r="AX51" s="97">
        <f>COUNTIF($AW49:$AW51,AW51)</f>
        <v>1</v>
      </c>
      <c r="AY51" s="97" t="str">
        <f>IF(AX51=1,"",SUM(($B30=$AK51)*(NOT(ISNA(MATCH($B32,IF($AV49:$AV51&gt;1,$AK49:$AK51,0),0))))*($G30))+SUM(($B32=$AK51)*(NOT(ISNA(MATCH($B30,IF($AV49:$AV51&gt;1,$AK49:$AK51,0),0))))*($G32)))</f>
        <v/>
      </c>
      <c r="AZ51" s="96" t="str">
        <f>IF(AY51="","",RANK(AY51,$AY49:$AY51))</f>
        <v/>
      </c>
      <c r="BA51" s="98">
        <f>VALUE(AU51&amp;AW51&amp;AZ51)</f>
        <v>22</v>
      </c>
    </row>
    <row r="53" spans="31:53" ht="15" thickBot="1" x14ac:dyDescent="0.35"/>
    <row r="54" spans="31:53" x14ac:dyDescent="0.3">
      <c r="AE54" s="89">
        <f>IF(AG54="",0,IF(AG56&lt;AG54,3,IF(AG56=AG54,1,0)))</f>
        <v>0</v>
      </c>
      <c r="AF54" s="89">
        <f>IF(AH54="",0,IF(AH56&lt;AH54,3,IF(AH56=AH54,1,0)))</f>
        <v>0</v>
      </c>
      <c r="AG54" s="86">
        <f>IF(M10="","",IF(M12="","",M10))</f>
        <v>1</v>
      </c>
      <c r="AH54" s="86">
        <f>IF(N10="","",IF(N12="","",N10))</f>
        <v>1</v>
      </c>
      <c r="AI54" s="86">
        <v>1</v>
      </c>
      <c r="AJ54" s="90">
        <f>IF(BA54="","",RANK(BA54,$BA54:$BA56,1))</f>
        <v>2</v>
      </c>
      <c r="AK54" s="91" t="str">
        <f>J10</f>
        <v>Dennis</v>
      </c>
      <c r="AL54" s="92">
        <f>SUM(AM54:AO54)</f>
        <v>2</v>
      </c>
      <c r="AM54" s="93">
        <f>SUMPRODUCT(($J10=$AK54)*($AG54&gt;$AG56))+SUMPRODUCT(($J12=$AK54)*($AG54&lt;$AG56))+SUMPRODUCT(($J10=$AK54)*($AH54&gt;$AH56))+SUMPRODUCT(($J12=$AK54)*($AH54&lt;$AH56))</f>
        <v>0</v>
      </c>
      <c r="AN54" s="93">
        <f>SUMPRODUCT(($J10=$AK54)*($AG54=$AG56)*($AG54&lt;&gt;""))+SUMPRODUCT(($J12=$AK54)*($AG54=$AG56)*($AG54&lt;&gt;""))+SUMPRODUCT(($J10=$AK54)*($AH54=$AH56)*($AH54&lt;&gt;""))+SUMPRODUCT(($J12=$AK54)*($AH54=$AH56)*($AG54&lt;&gt;""))</f>
        <v>0</v>
      </c>
      <c r="AO54" s="93">
        <f>SUMPRODUCT(($J10=$AK54)*($AG54&lt;$AG56))+SUMPRODUCT(($J12=$AK54)*($AG54&gt;$AG56))+SUMPRODUCT(($J10=$AK54)*($AH54&lt;$AH56))+SUMPRODUCT(($J12=$AK54)*($AH54&gt;$AH56))</f>
        <v>2</v>
      </c>
      <c r="AP54" s="93">
        <f>AG54+AH54</f>
        <v>2</v>
      </c>
      <c r="AQ54" s="93">
        <f>AG56+AH56</f>
        <v>10</v>
      </c>
      <c r="AR54" s="93">
        <f>AP54-AQ54</f>
        <v>-8</v>
      </c>
      <c r="AS54" s="94">
        <f>AM54*3+AN54</f>
        <v>0</v>
      </c>
      <c r="AT54" s="95">
        <f>AJ54</f>
        <v>2</v>
      </c>
      <c r="AU54" s="96">
        <f>IF(AK54="","",VALUE(CONCATENATE(TEXT(RANK(AS54,$AS54:$AS56),"00"))))</f>
        <v>2</v>
      </c>
      <c r="AV54" s="97">
        <f>COUNTIF($AU54:$AU56,AU54)</f>
        <v>1</v>
      </c>
      <c r="AW54" s="96">
        <f>RANK(AR54,$AR54:$AR56)</f>
        <v>2</v>
      </c>
      <c r="AX54" s="97">
        <f>COUNTIF($AW54:$AW56,AW54)</f>
        <v>1</v>
      </c>
      <c r="AY54" s="97" t="str">
        <f>IF(AX54=1,"",SUM(($J10=$AK54)*(NOT(ISNA(MATCH($J12,IF($AV54:$AV56&gt;1,$AK54:$AK56,0),0))))*($O10))+SUM(($J12=$AK54)*(NOT(ISNA(MATCH($J10,IF($AV54:$AV56&gt;1,$AK54:$AK56,0),0))))*($O12)))</f>
        <v/>
      </c>
      <c r="AZ54" s="96" t="str">
        <f>IF(AY54="","",RANK(AY54,$AY54:$AY56))</f>
        <v/>
      </c>
      <c r="BA54" s="98">
        <f>VALUE(AU54&amp;AW54&amp;AZ54)</f>
        <v>22</v>
      </c>
    </row>
    <row r="55" spans="31:53" ht="3" customHeight="1" x14ac:dyDescent="0.3">
      <c r="AE55" s="99"/>
      <c r="AF55" s="99"/>
      <c r="AG55" s="99"/>
      <c r="AH55" s="99"/>
      <c r="AI55" s="86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</row>
    <row r="56" spans="31:53" ht="15" thickBot="1" x14ac:dyDescent="0.35">
      <c r="AE56" s="89">
        <f>IF(AG56="",0,IF(AG54&lt;AG56,3,IF(AG54=AG56,1,0)))</f>
        <v>3</v>
      </c>
      <c r="AF56" s="89">
        <f>IF(AH56="",0,IF(AH54&lt;AH56,3,IF(AH54=AH56,1,0)))</f>
        <v>3</v>
      </c>
      <c r="AG56" s="86">
        <f>IF(M10="","",IF(M12="","",M12))</f>
        <v>2</v>
      </c>
      <c r="AH56" s="86">
        <f>IF(N10="","",IF(N12="","",N12))</f>
        <v>8</v>
      </c>
      <c r="AI56" s="86">
        <v>2</v>
      </c>
      <c r="AJ56" s="111">
        <f>IF(BA56="","",RANK(BA56,$BA54:$BA56,1))</f>
        <v>1</v>
      </c>
      <c r="AK56" s="112" t="str">
        <f>J12</f>
        <v>Paider</v>
      </c>
      <c r="AL56" s="113">
        <f>SUM(AM56:AO56)</f>
        <v>2</v>
      </c>
      <c r="AM56" s="114">
        <f>AO54</f>
        <v>2</v>
      </c>
      <c r="AN56" s="114">
        <f>AN54</f>
        <v>0</v>
      </c>
      <c r="AO56" s="114">
        <f>AM54</f>
        <v>0</v>
      </c>
      <c r="AP56" s="114">
        <f>AG56+AH56</f>
        <v>10</v>
      </c>
      <c r="AQ56" s="114">
        <f>AG54+AH54</f>
        <v>2</v>
      </c>
      <c r="AR56" s="114">
        <f>AP56-AQ56</f>
        <v>8</v>
      </c>
      <c r="AS56" s="115">
        <f>AM56*3+AN56</f>
        <v>6</v>
      </c>
      <c r="AT56" s="95">
        <f>AJ56</f>
        <v>1</v>
      </c>
      <c r="AU56" s="96">
        <f>IF(AK56="","",VALUE(CONCATENATE(TEXT(RANK(AS56,$AS54:$AS56),"00"))))</f>
        <v>1</v>
      </c>
      <c r="AV56" s="97">
        <f>COUNTIF($AU54:$AU56,AU56)</f>
        <v>1</v>
      </c>
      <c r="AW56" s="96">
        <f>RANK(AR56,$AR54:$AR56)</f>
        <v>1</v>
      </c>
      <c r="AX56" s="97">
        <f>COUNTIF($AW54:$AW56,AW56)</f>
        <v>1</v>
      </c>
      <c r="AY56" s="97" t="str">
        <f>IF(AX56=1,"",SUM(($J10=$AK56)*(NOT(ISNA(MATCH($J12,IF($AV54:$AV56&gt;1,$AK54:$AK56,0),0))))*($O10))+SUM(($J12=$AK56)*(NOT(ISNA(MATCH($J10,IF($AV54:$AV56&gt;1,$AK54:$AK56,0),0))))*($O12)))</f>
        <v/>
      </c>
      <c r="AZ56" s="96" t="str">
        <f>IF(AY56="","",RANK(AY56,$AY54:$AY56))</f>
        <v/>
      </c>
      <c r="BA56" s="98">
        <f>VALUE(AU56&amp;AW56&amp;AZ56)</f>
        <v>11</v>
      </c>
    </row>
    <row r="57" spans="31:53" ht="10.199999999999999" customHeight="1" thickBot="1" x14ac:dyDescent="0.35"/>
    <row r="58" spans="31:53" x14ac:dyDescent="0.3">
      <c r="AE58" s="89">
        <f>IF(AG58="",0,IF(AG60&lt;AG58,3,IF(AG60=AG58,1,0)))</f>
        <v>3</v>
      </c>
      <c r="AF58" s="89">
        <f>IF(AH58="",0,IF(AH60&lt;AH58,3,IF(AH60=AH58,1,0)))</f>
        <v>3</v>
      </c>
      <c r="AG58" s="86">
        <f>IF(M26="","",IF(M28="","",M26))</f>
        <v>2</v>
      </c>
      <c r="AH58" s="86">
        <f>IF(N26="","",IF(N28="","",N26))</f>
        <v>1</v>
      </c>
      <c r="AI58" s="86">
        <v>1</v>
      </c>
      <c r="AJ58" s="90">
        <f>IF(BA58="","",RANK(BA58,$BA58:$BA60,1))</f>
        <v>1</v>
      </c>
      <c r="AK58" s="91" t="str">
        <f>J26</f>
        <v>DoTa</v>
      </c>
      <c r="AL58" s="92">
        <f>SUM(AM58:AO58)</f>
        <v>2</v>
      </c>
      <c r="AM58" s="93">
        <f>SUMPRODUCT(($J26=$AK58)*($AG58&gt;$AG60))+SUMPRODUCT(($J28=$AK58)*($AG58&lt;$AG60))+SUMPRODUCT(($J26=$AK58)*($AH58&gt;$AH60))+SUMPRODUCT(($J28=$AK58)*($AH58&lt;$AH60))</f>
        <v>2</v>
      </c>
      <c r="AN58" s="93">
        <f>SUMPRODUCT(($J26=$AK58)*($AG58=$AG60)*($AG58&lt;&gt;""))+SUMPRODUCT(($J28=$AK58)*($AG58=$AG60)*($AG58&lt;&gt;""))+SUMPRODUCT(($J26=$AK58)*($AH58=$AH60)*($AH58&lt;&gt;""))+SUMPRODUCT(($J28=$AK58)*($AH58=$AH60)*($AG58&lt;&gt;""))</f>
        <v>0</v>
      </c>
      <c r="AO58" s="93">
        <f>SUMPRODUCT(($J26=$AK58)*($AG58&lt;$AG60))+SUMPRODUCT(($J28=$AK58)*($AG58&gt;$AG60))+SUMPRODUCT(($J26=$AK58)*($AH58&lt;$AH60))+SUMPRODUCT(($J28=$AK58)*($AH58&gt;$AH60))</f>
        <v>0</v>
      </c>
      <c r="AP58" s="93">
        <f>AG58+AH58</f>
        <v>3</v>
      </c>
      <c r="AQ58" s="93">
        <f>AG60+AH60</f>
        <v>0</v>
      </c>
      <c r="AR58" s="93">
        <f>AP58-AQ58</f>
        <v>3</v>
      </c>
      <c r="AS58" s="94">
        <f>AM58*3+AN58</f>
        <v>6</v>
      </c>
      <c r="AT58" s="95">
        <f>AJ58</f>
        <v>1</v>
      </c>
      <c r="AU58" s="96">
        <f>IF(AK58="","",VALUE(CONCATENATE(TEXT(RANK(AS58,$AS58:$AS60),"00"))))</f>
        <v>1</v>
      </c>
      <c r="AV58" s="97">
        <f>COUNTIF($AU58:$AU60,AU58)</f>
        <v>1</v>
      </c>
      <c r="AW58" s="96">
        <f>RANK(AR58,$AR58:$AR60)</f>
        <v>1</v>
      </c>
      <c r="AX58" s="97">
        <f>COUNTIF($AW58:$AW60,AW58)</f>
        <v>1</v>
      </c>
      <c r="AY58" s="97" t="str">
        <f>IF(AX58=1,"",SUM(($J26=$AK58)*(NOT(ISNA(MATCH($J28,IF($AV58:$AV60&gt;1,$AK58:$AK60,0),0))))*($O26))+SUM(($J28=$AK58)*(NOT(ISNA(MATCH($J26,IF($AV58:$AV60&gt;1,$AK58:$AK60,0),0))))*($O28)))</f>
        <v/>
      </c>
      <c r="AZ58" s="96" t="str">
        <f>IF(AY58="","",RANK(AY58,$AY58:$AY60))</f>
        <v/>
      </c>
      <c r="BA58" s="98">
        <f>VALUE(AU58&amp;AW58&amp;AZ58)</f>
        <v>11</v>
      </c>
    </row>
    <row r="59" spans="31:53" ht="3" customHeight="1" x14ac:dyDescent="0.3">
      <c r="AE59" s="99"/>
      <c r="AF59" s="99"/>
      <c r="AG59" s="99"/>
      <c r="AH59" s="99"/>
      <c r="AI59" s="86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</row>
    <row r="60" spans="31:53" ht="15" thickBot="1" x14ac:dyDescent="0.35">
      <c r="AE60" s="89">
        <f>IF(AG60="",0,IF(AG58&lt;AG60,3,IF(AG58=AG60,1,0)))</f>
        <v>0</v>
      </c>
      <c r="AF60" s="89">
        <f>IF(AH60="",0,IF(AH58&lt;AH60,3,IF(AH58=AH60,1,0)))</f>
        <v>0</v>
      </c>
      <c r="AG60" s="86">
        <f>IF(M26="","",IF(M28="","",M28))</f>
        <v>0</v>
      </c>
      <c r="AH60" s="86">
        <f>IF(N26="","",IF(N28="","",N28))</f>
        <v>0</v>
      </c>
      <c r="AI60" s="86">
        <v>2</v>
      </c>
      <c r="AJ60" s="111">
        <f>IF(BA60="","",RANK(BA60,$BA58:$BA60,1))</f>
        <v>2</v>
      </c>
      <c r="AK60" s="112" t="str">
        <f>J28</f>
        <v>FRK Pawel</v>
      </c>
      <c r="AL60" s="113">
        <f>SUM(AM60:AO60)</f>
        <v>2</v>
      </c>
      <c r="AM60" s="114">
        <f>AO58</f>
        <v>0</v>
      </c>
      <c r="AN60" s="114">
        <f>AN58</f>
        <v>0</v>
      </c>
      <c r="AO60" s="114">
        <f>AM58</f>
        <v>2</v>
      </c>
      <c r="AP60" s="114">
        <f>AG60+AH60</f>
        <v>0</v>
      </c>
      <c r="AQ60" s="114">
        <f>AG58+AH58</f>
        <v>3</v>
      </c>
      <c r="AR60" s="114">
        <f>AP60-AQ60</f>
        <v>-3</v>
      </c>
      <c r="AS60" s="115">
        <f>AM60*3+AN60</f>
        <v>0</v>
      </c>
      <c r="AT60" s="95">
        <f>AJ60</f>
        <v>2</v>
      </c>
      <c r="AU60" s="96">
        <f>IF(AK60="","",VALUE(CONCATENATE(TEXT(RANK(AS60,$AS58:$AS60),"00"))))</f>
        <v>2</v>
      </c>
      <c r="AV60" s="97">
        <f>COUNTIF($AU58:$AU60,AU60)</f>
        <v>1</v>
      </c>
      <c r="AW60" s="96">
        <f>RANK(AR60,$AR58:$AR60)</f>
        <v>2</v>
      </c>
      <c r="AX60" s="97">
        <f>COUNTIF($AW58:$AW60,AW60)</f>
        <v>1</v>
      </c>
      <c r="AY60" s="97" t="str">
        <f>IF(AX60=1,"",SUM(($J26=$AK60)*(NOT(ISNA(MATCH($J28,IF($AV58:$AV60&gt;1,$AK58:$AK60,0),0))))*($O26))+SUM(($J28=$AK60)*(NOT(ISNA(MATCH($J26,IF($AV58:$AV60&gt;1,$AK58:$AK60,0),0))))*($O28)))</f>
        <v/>
      </c>
      <c r="AZ60" s="96" t="str">
        <f>IF(AY60="","",RANK(AY60,$AY58:$AY60))</f>
        <v/>
      </c>
      <c r="BA60" s="98">
        <f>VALUE(AU60&amp;AW60&amp;AZ60)</f>
        <v>22</v>
      </c>
    </row>
    <row r="61" spans="31:53" ht="10.199999999999999" customHeight="1" thickBot="1" x14ac:dyDescent="0.35"/>
    <row r="62" spans="31:53" x14ac:dyDescent="0.3">
      <c r="AE62" s="89">
        <f>IF(AG62="",0,IF(AG64&lt;AG62,3,IF(AG64=AG62,1,0)))</f>
        <v>1</v>
      </c>
      <c r="AF62" s="89">
        <f>IF(AH62="",0,IF(AH64&lt;AH62,3,IF(AH64=AH62,1,0)))</f>
        <v>0</v>
      </c>
      <c r="AG62" s="86">
        <f>IF(V18="","",IF(V20="","",V18))</f>
        <v>1</v>
      </c>
      <c r="AH62" s="86">
        <f>IF(W18="","",IF(W20="","",W18))</f>
        <v>1</v>
      </c>
      <c r="AI62" s="86">
        <v>1</v>
      </c>
      <c r="AJ62" s="90">
        <f>IF(BA62="","",RANK(BA62,$BA62:$BA64,1))</f>
        <v>2</v>
      </c>
      <c r="AK62" s="91" t="str">
        <f>S18</f>
        <v>Paider</v>
      </c>
      <c r="AL62" s="92">
        <f>SUM(AM62:AO62)</f>
        <v>2</v>
      </c>
      <c r="AM62" s="93">
        <f>SUMPRODUCT(($S18=$AK62)*($AG62&gt;$AG64))+SUMPRODUCT(($S20=$AK62)*($AG62&lt;$AG64))+SUMPRODUCT(($S18=$AK62)*($AH62&gt;$AH64))+SUMPRODUCT(($S20=$AK62)*($AH62&lt;$AH64))</f>
        <v>0</v>
      </c>
      <c r="AN62" s="93">
        <f>SUMPRODUCT(($S18=$AK62)*($AG62=$AG64)*($AG62&lt;&gt;""))+SUMPRODUCT(($S20=$AK62)*($AG62=$AG64)*($AG62&lt;&gt;""))+SUMPRODUCT(($S18=$AK62)*($AH62=$AH64)*($AH62&lt;&gt;""))+SUMPRODUCT(($S20=$AK62)*($AH62=$AH64)*($AG62&lt;&gt;""))</f>
        <v>1</v>
      </c>
      <c r="AO62" s="93">
        <f>SUMPRODUCT(($S18=$AK62)*($AG62&lt;$AG64))+SUMPRODUCT(($S20=$AK62)*($AG62&gt;$AG64))+SUMPRODUCT(($S18=$AK62)*($AH62&lt;$AH64))+SUMPRODUCT(($S20=$AK62)*($AH62&gt;$AH64))</f>
        <v>1</v>
      </c>
      <c r="AP62" s="93">
        <f>AG62+AH62</f>
        <v>2</v>
      </c>
      <c r="AQ62" s="93">
        <f>AG64+AH64</f>
        <v>4</v>
      </c>
      <c r="AR62" s="93">
        <f>AP62-AQ62</f>
        <v>-2</v>
      </c>
      <c r="AS62" s="94">
        <f>AM62*3+AN62</f>
        <v>1</v>
      </c>
      <c r="AT62" s="95">
        <f>AJ62</f>
        <v>2</v>
      </c>
      <c r="AU62" s="96">
        <f>IF(AK62="","",VALUE(CONCATENATE(TEXT(RANK(AS62,$AS62:$AS64),"00"))))</f>
        <v>2</v>
      </c>
      <c r="AV62" s="97">
        <f>COUNTIF($AU62:$AU64,AU62)</f>
        <v>1</v>
      </c>
      <c r="AW62" s="96">
        <f>RANK(AR62,$AR62:$AR64)</f>
        <v>2</v>
      </c>
      <c r="AX62" s="97">
        <f>COUNTIF($AW62:$AW64,AW62)</f>
        <v>1</v>
      </c>
      <c r="AY62" s="97" t="str">
        <f>IF(AX62=1,"",SUM(($S18=$AK62)*(NOT(ISNA(MATCH($S20,IF($AV62:$AV64&gt;1,$AK62:$AK64,0),0))))*($X18))+SUM(($S20=$AK62)*(NOT(ISNA(MATCH($S18,IF($AV62:$AV64&gt;1,$AK62:$AK64,0),0))))*($X20)))</f>
        <v/>
      </c>
      <c r="AZ62" s="96" t="str">
        <f>IF(AY62="","",RANK(AY62,$AY62:$AY64))</f>
        <v/>
      </c>
      <c r="BA62" s="98">
        <f>VALUE(AU62&amp;AW62&amp;AZ62)</f>
        <v>22</v>
      </c>
    </row>
    <row r="63" spans="31:53" ht="3" customHeight="1" x14ac:dyDescent="0.3">
      <c r="AE63" s="99"/>
      <c r="AF63" s="99"/>
      <c r="AG63" s="99"/>
      <c r="AH63" s="99"/>
      <c r="AI63" s="86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</row>
    <row r="64" spans="31:53" ht="15" thickBot="1" x14ac:dyDescent="0.35">
      <c r="AE64" s="89">
        <f>IF(AG64="",0,IF(AG62&lt;AG64,3,IF(AG62=AG64,1,0)))</f>
        <v>1</v>
      </c>
      <c r="AF64" s="89">
        <f>IF(AH64="",0,IF(AH62&lt;AH64,3,IF(AH62=AH64,1,0)))</f>
        <v>3</v>
      </c>
      <c r="AG64" s="86">
        <f>IF(V18="","",IF(V20="","",V20))</f>
        <v>1</v>
      </c>
      <c r="AH64" s="86">
        <f>IF(W18="","",IF(W20="","",W20))</f>
        <v>3</v>
      </c>
      <c r="AI64" s="86">
        <v>2</v>
      </c>
      <c r="AJ64" s="111">
        <f>IF(BA64="","",RANK(BA64,$BA62:$BA64,1))</f>
        <v>1</v>
      </c>
      <c r="AK64" s="112" t="str">
        <f>S20</f>
        <v>DoTa</v>
      </c>
      <c r="AL64" s="113">
        <f>SUM(AM64:AO64)</f>
        <v>2</v>
      </c>
      <c r="AM64" s="114">
        <f>AO62</f>
        <v>1</v>
      </c>
      <c r="AN64" s="114">
        <f>AN62</f>
        <v>1</v>
      </c>
      <c r="AO64" s="114">
        <f>AM62</f>
        <v>0</v>
      </c>
      <c r="AP64" s="114">
        <f>AG64+AH64</f>
        <v>4</v>
      </c>
      <c r="AQ64" s="114">
        <f>AG62+AH62</f>
        <v>2</v>
      </c>
      <c r="AR64" s="114">
        <f>AP64-AQ64</f>
        <v>2</v>
      </c>
      <c r="AS64" s="115">
        <f>AM64*3+AN64</f>
        <v>4</v>
      </c>
      <c r="AT64" s="95">
        <f>AJ64</f>
        <v>1</v>
      </c>
      <c r="AU64" s="96">
        <f>IF(AK64="","",VALUE(CONCATENATE(TEXT(RANK(AS64,$AS62:$AS64),"00"))))</f>
        <v>1</v>
      </c>
      <c r="AV64" s="97">
        <f>COUNTIF($AU62:$AU64,AU64)</f>
        <v>1</v>
      </c>
      <c r="AW64" s="96">
        <f>RANK(AR64,$AR62:$AR64)</f>
        <v>1</v>
      </c>
      <c r="AX64" s="97">
        <f>COUNTIF($AW62:$AW64,AW64)</f>
        <v>1</v>
      </c>
      <c r="AY64" s="97" t="str">
        <f>IF(AX64=1,"",SUM(($S18=$AK64)*(NOT(ISNA(MATCH($S20,IF($AV62:$AV64&gt;1,$AK62:$AK64,0),0))))*($X18))+SUM(($S20=$AK64)*(NOT(ISNA(MATCH($S18,IF($AV62:$AV64&gt;1,$AK62:$AK64,0),0))))*($X20)))</f>
        <v/>
      </c>
      <c r="AZ64" s="96" t="str">
        <f>IF(AY64="","",RANK(AY64,$AY62:$AY64))</f>
        <v/>
      </c>
      <c r="BA64" s="98">
        <f>VALUE(AU64&amp;AW64&amp;AZ64)</f>
        <v>11</v>
      </c>
    </row>
    <row r="65" spans="31:53" x14ac:dyDescent="0.3">
      <c r="AE65" s="99"/>
      <c r="AF65" s="99"/>
      <c r="AG65" s="86"/>
      <c r="AH65" s="86"/>
      <c r="AI65" s="86"/>
      <c r="AJ65" s="100"/>
      <c r="AK65" s="81"/>
      <c r="AL65" s="101"/>
      <c r="AM65" s="101"/>
      <c r="AN65" s="101"/>
      <c r="AO65" s="101"/>
      <c r="AP65" s="101"/>
      <c r="AQ65" s="101"/>
      <c r="AR65" s="101"/>
      <c r="AS65" s="81"/>
      <c r="AT65" s="95"/>
      <c r="AU65" s="145"/>
      <c r="AV65" s="104"/>
      <c r="AW65" s="145"/>
      <c r="AX65" s="104"/>
      <c r="AY65" s="104"/>
      <c r="AZ65" s="145"/>
      <c r="BA65" s="146"/>
    </row>
    <row r="66" spans="31:53" x14ac:dyDescent="0.3">
      <c r="AE66" s="99"/>
      <c r="AF66" s="99"/>
      <c r="AG66" s="86"/>
      <c r="AH66" s="86"/>
      <c r="AI66" s="86"/>
      <c r="AJ66" s="100"/>
      <c r="AK66" s="81"/>
      <c r="AL66" s="101"/>
      <c r="AM66" s="101"/>
      <c r="AN66" s="101"/>
      <c r="AO66" s="101"/>
      <c r="AP66" s="101"/>
      <c r="AQ66" s="101"/>
      <c r="AR66" s="101"/>
      <c r="AS66" s="81"/>
      <c r="AT66" s="95"/>
      <c r="AU66" s="145"/>
      <c r="AV66" s="104"/>
      <c r="AW66" s="145"/>
      <c r="AX66" s="104"/>
      <c r="AY66" s="104"/>
      <c r="AZ66" s="145"/>
      <c r="BA66" s="146"/>
    </row>
    <row r="67" spans="31:53" x14ac:dyDescent="0.3">
      <c r="AE67" s="99"/>
      <c r="AF67" s="99"/>
      <c r="AG67" s="86"/>
      <c r="AH67" s="86"/>
      <c r="AI67" s="86"/>
      <c r="AJ67" s="100"/>
      <c r="AK67" s="81"/>
      <c r="AL67" s="101"/>
      <c r="AM67" s="101"/>
      <c r="AN67" s="101"/>
      <c r="AO67" s="101"/>
      <c r="AP67" s="101"/>
      <c r="AQ67" s="101"/>
      <c r="AR67" s="101"/>
      <c r="AS67" s="81"/>
      <c r="AT67" s="95"/>
      <c r="AU67" s="145"/>
      <c r="AV67" s="104"/>
      <c r="AW67" s="145"/>
      <c r="AX67" s="104"/>
      <c r="AY67" s="104"/>
      <c r="AZ67" s="145"/>
      <c r="BA67" s="146"/>
    </row>
    <row r="68" spans="31:53" x14ac:dyDescent="0.3">
      <c r="AE68" s="99"/>
      <c r="AF68" s="99"/>
      <c r="AG68" s="86"/>
      <c r="AH68" s="86"/>
      <c r="AI68" s="86"/>
      <c r="AJ68" s="100"/>
      <c r="AK68" s="81"/>
      <c r="AL68" s="101"/>
      <c r="AM68" s="101"/>
      <c r="AN68" s="101"/>
      <c r="AO68" s="101"/>
      <c r="AP68" s="101"/>
      <c r="AQ68" s="101"/>
      <c r="AR68" s="101"/>
      <c r="AS68" s="81"/>
      <c r="AT68" s="95"/>
      <c r="AU68" s="145"/>
      <c r="AV68" s="104"/>
      <c r="AW68" s="145"/>
      <c r="AX68" s="104"/>
      <c r="AY68" s="104"/>
      <c r="AZ68" s="145"/>
      <c r="BA68" s="146"/>
    </row>
    <row r="69" spans="31:53" x14ac:dyDescent="0.3">
      <c r="AE69" s="99"/>
      <c r="AF69" s="99"/>
      <c r="AG69" s="86"/>
      <c r="AH69" s="86"/>
      <c r="AI69" s="86"/>
      <c r="AJ69" s="100"/>
      <c r="AK69" s="81"/>
      <c r="AL69" s="101"/>
      <c r="AM69" s="101"/>
      <c r="AN69" s="101"/>
      <c r="AO69" s="101"/>
      <c r="AP69" s="101"/>
      <c r="AQ69" s="101"/>
      <c r="AR69" s="101"/>
      <c r="AS69" s="81"/>
      <c r="AT69" s="95"/>
      <c r="AU69" s="145"/>
      <c r="AV69" s="104"/>
      <c r="AW69" s="145"/>
      <c r="AX69" s="104"/>
      <c r="AY69" s="104"/>
      <c r="AZ69" s="145"/>
      <c r="BA69" s="146"/>
    </row>
    <row r="70" spans="31:53" x14ac:dyDescent="0.3">
      <c r="AE70" s="99"/>
      <c r="AF70" s="99"/>
      <c r="AG70" s="86"/>
      <c r="AH70" s="86"/>
      <c r="AI70" s="86"/>
      <c r="AJ70" s="100"/>
      <c r="AK70" s="81"/>
      <c r="AL70" s="101"/>
      <c r="AM70" s="101"/>
      <c r="AN70" s="101"/>
      <c r="AO70" s="101"/>
      <c r="AP70" s="101"/>
      <c r="AQ70" s="101"/>
      <c r="AR70" s="101"/>
      <c r="AS70" s="81"/>
      <c r="AT70" s="95"/>
      <c r="AU70" s="145"/>
      <c r="AV70" s="104"/>
      <c r="AW70" s="145"/>
      <c r="AX70" s="104"/>
      <c r="AY70" s="104"/>
      <c r="AZ70" s="145"/>
      <c r="BA70" s="146"/>
    </row>
    <row r="71" spans="31:53" x14ac:dyDescent="0.3">
      <c r="AE71" s="99"/>
      <c r="AF71" s="99"/>
      <c r="AG71" s="86"/>
      <c r="AH71" s="86"/>
      <c r="AI71" s="86"/>
      <c r="AJ71" s="100"/>
      <c r="AK71" s="81"/>
      <c r="AL71" s="101"/>
      <c r="AM71" s="101"/>
      <c r="AN71" s="101"/>
      <c r="AO71" s="101"/>
      <c r="AP71" s="101"/>
      <c r="AQ71" s="101"/>
      <c r="AR71" s="101"/>
      <c r="AS71" s="81"/>
      <c r="AT71" s="95"/>
      <c r="AU71" s="145"/>
      <c r="AV71" s="104"/>
      <c r="AW71" s="145"/>
      <c r="AX71" s="104"/>
      <c r="AY71" s="104"/>
      <c r="AZ71" s="145"/>
      <c r="BA71" s="146"/>
    </row>
    <row r="72" spans="31:53" x14ac:dyDescent="0.3">
      <c r="AE72" s="99"/>
      <c r="AF72" s="99"/>
      <c r="AG72" s="86"/>
      <c r="AH72" s="86"/>
      <c r="AI72" s="86"/>
      <c r="AJ72" s="100"/>
      <c r="AK72" s="81"/>
      <c r="AL72" s="101"/>
      <c r="AM72" s="101"/>
      <c r="AN72" s="101"/>
      <c r="AO72" s="101"/>
      <c r="AP72" s="101"/>
      <c r="AQ72" s="101"/>
      <c r="AR72" s="101"/>
      <c r="AS72" s="81"/>
      <c r="AT72" s="95"/>
      <c r="AU72" s="145"/>
      <c r="AV72" s="104"/>
      <c r="AW72" s="145"/>
      <c r="AX72" s="104"/>
      <c r="AY72" s="104"/>
      <c r="AZ72" s="145"/>
      <c r="BA72" s="146"/>
    </row>
    <row r="73" spans="31:53" ht="10.199999999999999" customHeight="1" thickBot="1" x14ac:dyDescent="0.35"/>
    <row r="74" spans="31:53" x14ac:dyDescent="0.3">
      <c r="AE74" s="89">
        <f>IF(AG74="",0,IF(AG76&lt;AG74,3,IF(AG76=AG74,1,0)))</f>
        <v>0</v>
      </c>
      <c r="AF74" s="89">
        <f>IF(AH74="",0,IF(AH76&lt;AH74,3,IF(AH76=AH74,1,0)))</f>
        <v>0</v>
      </c>
      <c r="AG74" s="86" t="str">
        <f>IF(V30="","",IF(V32="","",V30))</f>
        <v/>
      </c>
      <c r="AH74" s="86" t="str">
        <f>IF(W30="","",IF(W32="","",W30))</f>
        <v/>
      </c>
      <c r="AI74" s="86">
        <v>1</v>
      </c>
      <c r="AJ74" s="90" t="e">
        <f>IF(BA74="","",RANK(BA74,$BA74:$BA76,1))</f>
        <v>#VALUE!</v>
      </c>
      <c r="AK74" s="91">
        <f>S30</f>
        <v>0</v>
      </c>
      <c r="AL74" s="92">
        <f>SUM(AM74:AO74)</f>
        <v>0</v>
      </c>
      <c r="AM74" s="93">
        <f>SUMPRODUCT(($S30=$AK74)*($AG74&gt;$AG76))+SUMPRODUCT(($S32=$AK74)*($AG74&lt;$AG76))+SUMPRODUCT(($S30=$AK74)*($AH74&gt;$AH76))+SUMPRODUCT(($S32=$AK74)*($AH74&lt;$AH76))</f>
        <v>0</v>
      </c>
      <c r="AN74" s="93">
        <f>SUMPRODUCT(($S30=$AK74)*($AG74=$AG76)*($AG74&lt;&gt;""))+SUMPRODUCT(($S32=$AK74)*($AG74=$AG76)*($AG74&lt;&gt;""))+SUMPRODUCT(($S30=$AK74)*($AH74=$AH76)*($AH74&lt;&gt;""))+SUMPRODUCT(($S32=$AK74)*($AH74=$AH76)*($AG74&lt;&gt;""))</f>
        <v>0</v>
      </c>
      <c r="AO74" s="93">
        <f>SUMPRODUCT(($S30=$AK74)*($AG74&lt;$AG76))+SUMPRODUCT(($S32=$AK74)*($AG74&gt;$AG76))+SUMPRODUCT(($S30=$AK74)*($AH74&lt;$AH76))+SUMPRODUCT(($S32=$AK74)*($AH74&gt;$AH76))</f>
        <v>0</v>
      </c>
      <c r="AP74" s="93" t="e">
        <f>AG74+AH74</f>
        <v>#VALUE!</v>
      </c>
      <c r="AQ74" s="93" t="e">
        <f>AG76+AH76</f>
        <v>#VALUE!</v>
      </c>
      <c r="AR74" s="93" t="e">
        <f>AP74-AQ74</f>
        <v>#VALUE!</v>
      </c>
      <c r="AS74" s="94">
        <f>AM74*3+AN74</f>
        <v>0</v>
      </c>
      <c r="AT74" s="95" t="e">
        <f>AJ74</f>
        <v>#VALUE!</v>
      </c>
      <c r="AU74" s="96">
        <f>IF(AK74="","",VALUE(CONCATENATE(TEXT(RANK(AS74,$AS74:$AS76),"00"))))</f>
        <v>1</v>
      </c>
      <c r="AV74" s="97">
        <f>COUNTIF($AU74:$AU76,AU74)</f>
        <v>2</v>
      </c>
      <c r="AW74" s="96" t="e">
        <f>RANK(AR74,$AR74:$AR76)</f>
        <v>#VALUE!</v>
      </c>
      <c r="AX74" s="97">
        <f>COUNTIF($AW74:$AW76,AW74)</f>
        <v>2</v>
      </c>
      <c r="AY74" s="97">
        <f>IF(AX74=1,"",SUM(($S30=$AK74)*(NOT(ISNA(MATCH($S32,IF($AV74:$AV76&gt;1,$AK74:$AK76,0),0))))*($X30))+SUM(($S32=$AK74)*(NOT(ISNA(MATCH($S30,IF($AV74:$AV76&gt;1,$AK74:$AK76,0),0))))*($X32)))</f>
        <v>0</v>
      </c>
      <c r="AZ74" s="96">
        <f>IF(AY74="","",RANK(AY74,$AY74:$AY76))</f>
        <v>1</v>
      </c>
      <c r="BA74" s="98" t="e">
        <f>VALUE(AU74&amp;AW74&amp;AZ74)</f>
        <v>#VALUE!</v>
      </c>
    </row>
    <row r="75" spans="31:53" ht="3" customHeight="1" x14ac:dyDescent="0.3">
      <c r="AE75" s="99"/>
      <c r="AF75" s="99"/>
      <c r="AG75" s="99"/>
      <c r="AH75" s="99"/>
      <c r="AI75" s="86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</row>
    <row r="76" spans="31:53" ht="15" thickBot="1" x14ac:dyDescent="0.35">
      <c r="AE76" s="89">
        <f>IF(AG76="",0,IF(AG74&lt;AG76,3,IF(AG74=AG76,1,0)))</f>
        <v>0</v>
      </c>
      <c r="AF76" s="89">
        <f>IF(AH76="",0,IF(AH74&lt;AH76,3,IF(AH74=AH76,1,0)))</f>
        <v>0</v>
      </c>
      <c r="AG76" s="86" t="str">
        <f>IF(V30="","",IF(V32="","",V32))</f>
        <v/>
      </c>
      <c r="AH76" s="86" t="str">
        <f>IF(W30="","",IF(W32="","",W32))</f>
        <v/>
      </c>
      <c r="AI76" s="86">
        <v>2</v>
      </c>
      <c r="AJ76" s="111" t="e">
        <f>IF(BA76="","",RANK(BA76,$BA74:$BA76,1))</f>
        <v>#VALUE!</v>
      </c>
      <c r="AK76" s="112">
        <f>S32</f>
        <v>0</v>
      </c>
      <c r="AL76" s="113">
        <f>SUM(AM76:AO76)</f>
        <v>0</v>
      </c>
      <c r="AM76" s="114">
        <f>AO74</f>
        <v>0</v>
      </c>
      <c r="AN76" s="114">
        <f>AN74</f>
        <v>0</v>
      </c>
      <c r="AO76" s="114">
        <f>AM74</f>
        <v>0</v>
      </c>
      <c r="AP76" s="114" t="e">
        <f>AG76+AH76</f>
        <v>#VALUE!</v>
      </c>
      <c r="AQ76" s="114" t="e">
        <f>AG74+AH74</f>
        <v>#VALUE!</v>
      </c>
      <c r="AR76" s="114" t="e">
        <f>AP76-AQ76</f>
        <v>#VALUE!</v>
      </c>
      <c r="AS76" s="115">
        <f>AM76*3+AN76</f>
        <v>0</v>
      </c>
      <c r="AT76" s="95" t="e">
        <f>AJ76</f>
        <v>#VALUE!</v>
      </c>
      <c r="AU76" s="96">
        <f>IF(AK76="","",VALUE(CONCATENATE(TEXT(RANK(AS76,$AS74:$AS76),"00"))))</f>
        <v>1</v>
      </c>
      <c r="AV76" s="97">
        <f>COUNTIF($AU74:$AU76,AU76)</f>
        <v>2</v>
      </c>
      <c r="AW76" s="96" t="e">
        <f>RANK(AR76,$AR74:$AR76)</f>
        <v>#VALUE!</v>
      </c>
      <c r="AX76" s="97">
        <f>COUNTIF($AW74:$AW76,AW76)</f>
        <v>2</v>
      </c>
      <c r="AY76" s="97">
        <f>IF(AX76=1,"",SUM(($S30=$AK76)*(NOT(ISNA(MATCH($S32,IF($AV74:$AV76&gt;1,$AK74:$AK76,0),0))))*($X30))+SUM(($S32=$AK76)*(NOT(ISNA(MATCH($S30,IF($AV74:$AV76&gt;1,$AK74:$AK76,0),0))))*($X32)))</f>
        <v>0</v>
      </c>
      <c r="AZ76" s="96">
        <f>IF(AY76="","",RANK(AY76,$AY74:$AY76))</f>
        <v>1</v>
      </c>
      <c r="BA76" s="98" t="e">
        <f>VALUE(AU76&amp;AW76&amp;AZ76)</f>
        <v>#VALUE!</v>
      </c>
    </row>
  </sheetData>
  <sheetProtection password="971E" sheet="1" objects="1" scenarios="1"/>
  <mergeCells count="10">
    <mergeCell ref="B12:B13"/>
    <mergeCell ref="S16:S17"/>
    <mergeCell ref="B20:B21"/>
    <mergeCell ref="J24:J25"/>
    <mergeCell ref="B28:B29"/>
    <mergeCell ref="B2:H2"/>
    <mergeCell ref="J2:P2"/>
    <mergeCell ref="S2:Y2"/>
    <mergeCell ref="B4:B5"/>
    <mergeCell ref="J8:J9"/>
  </mergeCells>
  <conditionalFormatting sqref="G6">
    <cfRule type="expression" dxfId="41" priority="87">
      <formula>AND(AX37&gt;1, AL37=2, F8&lt;&gt;"")</formula>
    </cfRule>
  </conditionalFormatting>
  <conditionalFormatting sqref="G8">
    <cfRule type="expression" dxfId="40" priority="88">
      <formula>AND(AX37&gt;1, AL37=2, F8&lt;&gt;"")</formula>
    </cfRule>
  </conditionalFormatting>
  <conditionalFormatting sqref="O10">
    <cfRule type="expression" dxfId="39" priority="85">
      <formula>AND(AX54&gt;1, AL54=2, N12&lt;&gt;"")</formula>
    </cfRule>
  </conditionalFormatting>
  <conditionalFormatting sqref="O12">
    <cfRule type="expression" dxfId="38" priority="86">
      <formula>AND(AX54&gt;1, AL54=2, N12&lt;&gt;"")</formula>
    </cfRule>
  </conditionalFormatting>
  <conditionalFormatting sqref="X18">
    <cfRule type="expression" dxfId="37" priority="84">
      <formula>AND(AX62&gt;1, AL62=2, W20&lt;&gt;"")</formula>
    </cfRule>
  </conditionalFormatting>
  <conditionalFormatting sqref="B6">
    <cfRule type="expression" dxfId="36" priority="34" stopIfTrue="1">
      <formula>AJ37&lt;AJ39</formula>
    </cfRule>
    <cfRule type="expression" dxfId="35" priority="35" stopIfTrue="1">
      <formula>AJ37&gt;AJ39</formula>
    </cfRule>
  </conditionalFormatting>
  <conditionalFormatting sqref="B8">
    <cfRule type="expression" dxfId="34" priority="32" stopIfTrue="1">
      <formula>AJ37&gt;AJ39</formula>
    </cfRule>
    <cfRule type="expression" dxfId="33" priority="33" stopIfTrue="1">
      <formula>AJ37&lt;AJ39</formula>
    </cfRule>
  </conditionalFormatting>
  <conditionalFormatting sqref="B14">
    <cfRule type="expression" dxfId="32" priority="30" stopIfTrue="1">
      <formula>AJ41&lt;AJ43</formula>
    </cfRule>
    <cfRule type="expression" dxfId="31" priority="31" stopIfTrue="1">
      <formula>AJ41&gt;AJ43</formula>
    </cfRule>
  </conditionalFormatting>
  <conditionalFormatting sqref="B16">
    <cfRule type="expression" dxfId="30" priority="28" stopIfTrue="1">
      <formula>AJ41&gt;AJ43</formula>
    </cfRule>
    <cfRule type="expression" dxfId="29" priority="29" stopIfTrue="1">
      <formula>AJ41&lt;AJ43</formula>
    </cfRule>
  </conditionalFormatting>
  <conditionalFormatting sqref="B22">
    <cfRule type="expression" dxfId="28" priority="26" stopIfTrue="1">
      <formula>AJ45&lt;AJ47</formula>
    </cfRule>
    <cfRule type="expression" dxfId="27" priority="27" stopIfTrue="1">
      <formula>AJ45&gt;AJ47</formula>
    </cfRule>
  </conditionalFormatting>
  <conditionalFormatting sqref="B24">
    <cfRule type="expression" dxfId="26" priority="24" stopIfTrue="1">
      <formula>AJ45&gt;AJ47</formula>
    </cfRule>
    <cfRule type="expression" dxfId="25" priority="25" stopIfTrue="1">
      <formula>AJ45&lt;AJ47</formula>
    </cfRule>
  </conditionalFormatting>
  <conditionalFormatting sqref="B30">
    <cfRule type="expression" dxfId="24" priority="22" stopIfTrue="1">
      <formula>AJ49&lt;AJ51</formula>
    </cfRule>
    <cfRule type="expression" dxfId="23" priority="23" stopIfTrue="1">
      <formula>AJ49&gt;AJ51</formula>
    </cfRule>
  </conditionalFormatting>
  <conditionalFormatting sqref="B32">
    <cfRule type="expression" dxfId="22" priority="20" stopIfTrue="1">
      <formula>AJ49&gt;AJ51</formula>
    </cfRule>
    <cfRule type="expression" dxfId="21" priority="21" stopIfTrue="1">
      <formula>AJ49&lt;AJ51</formula>
    </cfRule>
  </conditionalFormatting>
  <conditionalFormatting sqref="G14">
    <cfRule type="expression" dxfId="20" priority="89">
      <formula>AND(AX41&gt;1, AL41=2, F16&lt;&gt;"")</formula>
    </cfRule>
  </conditionalFormatting>
  <conditionalFormatting sqref="G16">
    <cfRule type="expression" dxfId="19" priority="90">
      <formula>AND(AX41&gt;1, AL41=2, F16&lt;&gt;"")</formula>
    </cfRule>
  </conditionalFormatting>
  <conditionalFormatting sqref="G22">
    <cfRule type="expression" dxfId="18" priority="91">
      <formula>AND(AX45&gt;1, AL45=2, F24&lt;&gt;"")</formula>
    </cfRule>
  </conditionalFormatting>
  <conditionalFormatting sqref="G24">
    <cfRule type="expression" dxfId="17" priority="92">
      <formula>AND(AX45&gt;1, AL45=2, F24&lt;&gt;"")</formula>
    </cfRule>
  </conditionalFormatting>
  <conditionalFormatting sqref="G30">
    <cfRule type="expression" dxfId="16" priority="93">
      <formula>AND(AX49&gt;1, AL49=2, F32&lt;&gt;"")</formula>
    </cfRule>
  </conditionalFormatting>
  <conditionalFormatting sqref="G32">
    <cfRule type="expression" dxfId="15" priority="94">
      <formula>AND(AX49&gt;1, AL49=2, F32&lt;&gt;"")</formula>
    </cfRule>
  </conditionalFormatting>
  <conditionalFormatting sqref="J10">
    <cfRule type="expression" dxfId="14" priority="18" stopIfTrue="1">
      <formula>AJ54&lt;AJ56</formula>
    </cfRule>
    <cfRule type="expression" dxfId="13" priority="19" stopIfTrue="1">
      <formula>AJ54&gt;AJ56</formula>
    </cfRule>
  </conditionalFormatting>
  <conditionalFormatting sqref="J12">
    <cfRule type="expression" dxfId="12" priority="16" stopIfTrue="1">
      <formula>AJ54&gt;AJ56</formula>
    </cfRule>
    <cfRule type="expression" dxfId="11" priority="17" stopIfTrue="1">
      <formula>AJ54&lt;AJ56</formula>
    </cfRule>
  </conditionalFormatting>
  <conditionalFormatting sqref="J26">
    <cfRule type="expression" dxfId="10" priority="14" stopIfTrue="1">
      <formula>AJ58&lt;AJ60</formula>
    </cfRule>
    <cfRule type="expression" dxfId="9" priority="15" stopIfTrue="1">
      <formula>AJ58&gt;AJ60</formula>
    </cfRule>
  </conditionalFormatting>
  <conditionalFormatting sqref="J28">
    <cfRule type="expression" dxfId="8" priority="12" stopIfTrue="1">
      <formula>AJ58&gt;AJ60</formula>
    </cfRule>
    <cfRule type="expression" dxfId="7" priority="13" stopIfTrue="1">
      <formula>AJ58&lt;AJ60</formula>
    </cfRule>
  </conditionalFormatting>
  <conditionalFormatting sqref="O26">
    <cfRule type="expression" dxfId="6" priority="95">
      <formula>AND(AX58&gt;1, AL58=2, N28&lt;&gt;"")</formula>
    </cfRule>
  </conditionalFormatting>
  <conditionalFormatting sqref="O28">
    <cfRule type="expression" dxfId="5" priority="96">
      <formula>AND(AX58&gt;1, AL58=2, N28&lt;&gt;"")</formula>
    </cfRule>
  </conditionalFormatting>
  <conditionalFormatting sqref="S18">
    <cfRule type="expression" dxfId="4" priority="10" stopIfTrue="1">
      <formula>AJ62&lt;AJ64</formula>
    </cfRule>
    <cfRule type="expression" dxfId="3" priority="11" stopIfTrue="1">
      <formula>AJ62&gt;AJ64</formula>
    </cfRule>
  </conditionalFormatting>
  <conditionalFormatting sqref="S20">
    <cfRule type="expression" dxfId="2" priority="8" stopIfTrue="1">
      <formula>AJ62&gt;AJ64</formula>
    </cfRule>
    <cfRule type="expression" dxfId="1" priority="9" stopIfTrue="1">
      <formula>AJ62&lt;AJ64</formula>
    </cfRule>
  </conditionalFormatting>
  <conditionalFormatting sqref="X20">
    <cfRule type="expression" dxfId="0" priority="7">
      <formula>AND(AX62&gt;1, AL62=2, W20&lt;&gt;"")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625" r:id="rId4" name="Check Box 9">
              <controlPr defaultSize="0" autoFill="0" autoLine="0" autoPict="0">
                <anchor moveWithCells="1">
                  <from>
                    <xdr:col>7</xdr:col>
                    <xdr:colOff>68580</xdr:colOff>
                    <xdr:row>7</xdr:row>
                    <xdr:rowOff>45720</xdr:rowOff>
                  </from>
                  <to>
                    <xdr:col>7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6" r:id="rId5" name="Check Box 10">
              <controlPr defaultSize="0" autoFill="0" autoLine="0" autoPict="0">
                <anchor moveWithCells="1">
                  <from>
                    <xdr:col>7</xdr:col>
                    <xdr:colOff>68580</xdr:colOff>
                    <xdr:row>15</xdr:row>
                    <xdr:rowOff>45720</xdr:rowOff>
                  </from>
                  <to>
                    <xdr:col>7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7" r:id="rId6" name="Check Box 11">
              <controlPr defaultSize="0" autoFill="0" autoLine="0" autoPict="0">
                <anchor moveWithCells="1">
                  <from>
                    <xdr:col>7</xdr:col>
                    <xdr:colOff>68580</xdr:colOff>
                    <xdr:row>23</xdr:row>
                    <xdr:rowOff>45720</xdr:rowOff>
                  </from>
                  <to>
                    <xdr:col>7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8" r:id="rId7" name="Check Box 12">
              <controlPr defaultSize="0" autoFill="0" autoLine="0" autoPict="0">
                <anchor moveWithCells="1">
                  <from>
                    <xdr:col>7</xdr:col>
                    <xdr:colOff>68580</xdr:colOff>
                    <xdr:row>31</xdr:row>
                    <xdr:rowOff>45720</xdr:rowOff>
                  </from>
                  <to>
                    <xdr:col>7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9" r:id="rId8" name="Check Box 13">
              <controlPr defaultSize="0" autoFill="0" autoLine="0" autoPict="0">
                <anchor moveWithCells="1">
                  <from>
                    <xdr:col>15</xdr:col>
                    <xdr:colOff>68580</xdr:colOff>
                    <xdr:row>11</xdr:row>
                    <xdr:rowOff>45720</xdr:rowOff>
                  </from>
                  <to>
                    <xdr:col>15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0" r:id="rId9" name="Check Box 14">
              <controlPr defaultSize="0" autoFill="0" autoLine="0" autoPict="0">
                <anchor moveWithCells="1">
                  <from>
                    <xdr:col>15</xdr:col>
                    <xdr:colOff>68580</xdr:colOff>
                    <xdr:row>27</xdr:row>
                    <xdr:rowOff>45720</xdr:rowOff>
                  </from>
                  <to>
                    <xdr:col>15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1" r:id="rId10" name="Check Box 15">
              <controlPr defaultSize="0" autoFill="0" autoLine="0" autoPict="0">
                <anchor moveWithCells="1">
                  <from>
                    <xdr:col>24</xdr:col>
                    <xdr:colOff>68580</xdr:colOff>
                    <xdr:row>19</xdr:row>
                    <xdr:rowOff>45720</xdr:rowOff>
                  </from>
                  <to>
                    <xdr:col>24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O21"/>
  <sheetViews>
    <sheetView showGridLines="0" workbookViewId="0">
      <selection activeCell="N17" sqref="N17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'2ndA+'!E8</f>
        <v>Sanek</v>
      </c>
      <c r="C2" s="275"/>
      <c r="D2" s="276"/>
      <c r="E2" s="283" t="str">
        <f>IFERROR('2ndA+'!D2,"-")</f>
        <v>2nd A</v>
      </c>
      <c r="F2" s="284"/>
      <c r="G2" s="284"/>
      <c r="H2" s="284"/>
      <c r="I2" s="285"/>
      <c r="J2" s="274" t="str">
        <f>'2ndA+'!E11</f>
        <v>Ruhbi</v>
      </c>
      <c r="K2" s="275"/>
      <c r="L2" s="276"/>
    </row>
    <row r="3" spans="1:15" ht="19.5" customHeight="1" thickBot="1" x14ac:dyDescent="0.35">
      <c r="A3" s="6"/>
      <c r="B3" s="274" t="str">
        <f>'2ndA+'!E9</f>
        <v>AndYpsilon</v>
      </c>
      <c r="C3" s="275"/>
      <c r="D3" s="276"/>
      <c r="E3" s="283"/>
      <c r="F3" s="284"/>
      <c r="G3" s="284"/>
      <c r="H3" s="284"/>
      <c r="I3" s="285"/>
      <c r="J3" s="274" t="str">
        <f>'2ndA+'!E12</f>
        <v>Dior</v>
      </c>
      <c r="K3" s="275"/>
      <c r="L3" s="276"/>
    </row>
    <row r="4" spans="1:15" ht="19.5" customHeight="1" thickBot="1" x14ac:dyDescent="0.35">
      <c r="A4" s="6"/>
      <c r="B4" s="274" t="str">
        <f>'2ndA+'!E10</f>
        <v>xflea</v>
      </c>
      <c r="C4" s="275"/>
      <c r="D4" s="276"/>
      <c r="E4" s="6"/>
      <c r="F4" s="6"/>
      <c r="G4" s="6"/>
      <c r="H4" s="6"/>
      <c r="I4" s="6"/>
      <c r="J4" s="274" t="str">
        <f>'2ndA+'!E13</f>
        <v>Team Oelkohold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4" t="s">
        <v>18</v>
      </c>
      <c r="B6" s="44" t="s">
        <v>15</v>
      </c>
      <c r="C6" s="44"/>
      <c r="D6" s="44" t="s">
        <v>16</v>
      </c>
      <c r="E6" s="273" t="s">
        <v>17</v>
      </c>
      <c r="F6" s="273"/>
      <c r="G6" s="273"/>
      <c r="H6" s="3"/>
      <c r="I6" s="44" t="s">
        <v>18</v>
      </c>
      <c r="J6" s="44" t="s">
        <v>15</v>
      </c>
      <c r="K6" s="44"/>
      <c r="L6" s="44" t="s">
        <v>16</v>
      </c>
      <c r="M6" s="273" t="s">
        <v>17</v>
      </c>
      <c r="N6" s="273"/>
      <c r="O6" s="273"/>
    </row>
    <row r="7" spans="1:15" ht="18" customHeight="1" thickBot="1" x14ac:dyDescent="0.35">
      <c r="A7" s="4" t="s">
        <v>0</v>
      </c>
      <c r="B7" s="4" t="str">
        <f>IFERROR(VLOOKUP('2ndA+'!C16,'2ndA+'!$D$8:$E$13,2,0),"-")</f>
        <v>Team Oelkohold</v>
      </c>
      <c r="C7" s="5" t="s">
        <v>19</v>
      </c>
      <c r="D7" s="4" t="str">
        <f>IFERROR(VLOOKUP('2ndA+'!E16,'2ndA+'!$D$8:$E$13,2,0),"-")</f>
        <v>xflea</v>
      </c>
      <c r="E7" s="4">
        <v>5</v>
      </c>
      <c r="F7" s="5" t="s">
        <v>19</v>
      </c>
      <c r="G7" s="4">
        <v>1</v>
      </c>
      <c r="H7" s="6"/>
      <c r="I7" s="4" t="s">
        <v>20</v>
      </c>
      <c r="J7" s="4" t="str">
        <f>IFERROR(VLOOKUP('2ndA+'!H16,'2ndA+'!$D$8:$E$13,2,0),"-")</f>
        <v>xflea</v>
      </c>
      <c r="K7" s="5" t="s">
        <v>19</v>
      </c>
      <c r="L7" s="4" t="str">
        <f>IFERROR(VLOOKUP('2ndA+'!J16,'2ndA+'!$D$8:$E$13,2,0),"-")</f>
        <v>Team Oelkohold</v>
      </c>
      <c r="M7" s="4">
        <v>3</v>
      </c>
      <c r="N7" s="5" t="s">
        <v>19</v>
      </c>
      <c r="O7" s="4">
        <v>1</v>
      </c>
    </row>
    <row r="8" spans="1:15" ht="18" customHeight="1" thickBot="1" x14ac:dyDescent="0.35">
      <c r="A8" s="4" t="s">
        <v>1</v>
      </c>
      <c r="B8" s="4" t="str">
        <f>IFERROR(VLOOKUP('2ndA+'!C17,'2ndA+'!$D$8:$E$13,2,0),"-")</f>
        <v>AndYpsilon</v>
      </c>
      <c r="C8" s="5" t="s">
        <v>19</v>
      </c>
      <c r="D8" s="4" t="str">
        <f>IFERROR(VLOOKUP('2ndA+'!E17,'2ndA+'!$D$8:$E$13,2,0),"-")</f>
        <v>Dior</v>
      </c>
      <c r="E8" s="4">
        <v>10</v>
      </c>
      <c r="F8" s="5" t="s">
        <v>19</v>
      </c>
      <c r="G8" s="4">
        <v>0</v>
      </c>
      <c r="H8" s="6"/>
      <c r="I8" s="4" t="s">
        <v>21</v>
      </c>
      <c r="J8" s="4" t="str">
        <f>IFERROR(VLOOKUP('2ndA+'!H17,'2ndA+'!$D$8:$E$13,2,0),"-")</f>
        <v>Dior</v>
      </c>
      <c r="K8" s="5" t="s">
        <v>19</v>
      </c>
      <c r="L8" s="4" t="str">
        <f>IFERROR(VLOOKUP('2ndA+'!J17,'2ndA+'!$D$8:$E$13,2,0),"-")</f>
        <v>AndYpsilon</v>
      </c>
      <c r="M8" s="4">
        <v>1</v>
      </c>
      <c r="N8" s="5" t="s">
        <v>19</v>
      </c>
      <c r="O8" s="4">
        <v>2</v>
      </c>
    </row>
    <row r="9" spans="1:15" ht="18" customHeight="1" thickBot="1" x14ac:dyDescent="0.35">
      <c r="A9" s="4" t="s">
        <v>2</v>
      </c>
      <c r="B9" s="4" t="str">
        <f>IFERROR(VLOOKUP('2ndA+'!C18,'2ndA+'!$D$8:$E$13,2,0),"-")</f>
        <v>Ruhbi</v>
      </c>
      <c r="C9" s="5" t="s">
        <v>19</v>
      </c>
      <c r="D9" s="4" t="str">
        <f>IFERROR(VLOOKUP('2ndA+'!E18,'2ndA+'!$D$8:$E$13,2,0),"-")</f>
        <v>Sanek</v>
      </c>
      <c r="E9" s="4">
        <v>2</v>
      </c>
      <c r="F9" s="5" t="s">
        <v>19</v>
      </c>
      <c r="G9" s="4">
        <v>1</v>
      </c>
      <c r="H9" s="6"/>
      <c r="I9" s="4" t="s">
        <v>22</v>
      </c>
      <c r="J9" s="4" t="str">
        <f>IFERROR(VLOOKUP('2ndA+'!H18,'2ndA+'!$D$8:$E$13,2,0),"-")</f>
        <v>Sanek</v>
      </c>
      <c r="K9" s="5" t="s">
        <v>19</v>
      </c>
      <c r="L9" s="4" t="str">
        <f>IFERROR(VLOOKUP('2ndA+'!J18,'2ndA+'!$D$8:$E$13,2,0),"-")</f>
        <v>Ruhbi</v>
      </c>
      <c r="M9" s="4">
        <v>2</v>
      </c>
      <c r="N9" s="5" t="s">
        <v>19</v>
      </c>
      <c r="O9" s="4">
        <v>2</v>
      </c>
    </row>
    <row r="10" spans="1:15" ht="18" customHeight="1" thickBot="1" x14ac:dyDescent="0.35">
      <c r="A10" s="4" t="s">
        <v>3</v>
      </c>
      <c r="B10" s="4" t="str">
        <f>IFERROR(VLOOKUP('2ndA+'!C19,'2ndA+'!$D$8:$E$13,2,0),"-")</f>
        <v>Dior</v>
      </c>
      <c r="C10" s="5" t="s">
        <v>19</v>
      </c>
      <c r="D10" s="4" t="str">
        <f>IFERROR(VLOOKUP('2ndA+'!E19,'2ndA+'!$D$8:$E$13,2,0),"-")</f>
        <v>Team Oelkohold</v>
      </c>
      <c r="E10" s="4">
        <v>1</v>
      </c>
      <c r="F10" s="5" t="s">
        <v>19</v>
      </c>
      <c r="G10" s="4">
        <v>2</v>
      </c>
      <c r="H10" s="6"/>
      <c r="I10" s="4" t="s">
        <v>23</v>
      </c>
      <c r="J10" s="4" t="str">
        <f>IFERROR(VLOOKUP('2ndA+'!H19,'2ndA+'!$D$8:$E$13,2,0),"-")</f>
        <v>Team Oelkohold</v>
      </c>
      <c r="K10" s="5" t="s">
        <v>19</v>
      </c>
      <c r="L10" s="4" t="str">
        <f>IFERROR(VLOOKUP('2ndA+'!J19,'2ndA+'!$D$8:$E$13,2,0),"-")</f>
        <v>Dior</v>
      </c>
      <c r="M10" s="4">
        <v>4</v>
      </c>
      <c r="N10" s="5" t="s">
        <v>19</v>
      </c>
      <c r="O10" s="4">
        <v>0</v>
      </c>
    </row>
    <row r="11" spans="1:15" ht="18" customHeight="1" thickBot="1" x14ac:dyDescent="0.35">
      <c r="A11" s="4" t="s">
        <v>4</v>
      </c>
      <c r="B11" s="4" t="str">
        <f>IFERROR(VLOOKUP('2ndA+'!C20,'2ndA+'!$D$8:$E$13,2,0),"-")</f>
        <v>Sanek</v>
      </c>
      <c r="C11" s="5" t="s">
        <v>19</v>
      </c>
      <c r="D11" s="4" t="str">
        <f>IFERROR(VLOOKUP('2ndA+'!E20,'2ndA+'!$D$8:$E$13,2,0),"-")</f>
        <v>xflea</v>
      </c>
      <c r="E11" s="4">
        <v>3</v>
      </c>
      <c r="F11" s="5" t="s">
        <v>19</v>
      </c>
      <c r="G11" s="4">
        <v>1</v>
      </c>
      <c r="H11" s="6"/>
      <c r="I11" s="4" t="s">
        <v>24</v>
      </c>
      <c r="J11" s="4" t="str">
        <f>IFERROR(VLOOKUP('2ndA+'!H20,'2ndA+'!$D$8:$E$13,2,0),"-")</f>
        <v>xflea</v>
      </c>
      <c r="K11" s="5" t="s">
        <v>19</v>
      </c>
      <c r="L11" s="4" t="str">
        <f>IFERROR(VLOOKUP('2ndA+'!J20,'2ndA+'!$D$8:$E$13,2,0),"-")</f>
        <v>Sanek</v>
      </c>
      <c r="M11" s="4">
        <v>0</v>
      </c>
      <c r="N11" s="5" t="s">
        <v>19</v>
      </c>
      <c r="O11" s="4">
        <v>3</v>
      </c>
    </row>
    <row r="12" spans="1:15" ht="18" customHeight="1" thickBot="1" x14ac:dyDescent="0.35">
      <c r="A12" s="4" t="s">
        <v>5</v>
      </c>
      <c r="B12" s="4" t="str">
        <f>IFERROR(VLOOKUP('2ndA+'!C21,'2ndA+'!$D$8:$E$13,2,0),"-")</f>
        <v>Ruhbi</v>
      </c>
      <c r="C12" s="5" t="s">
        <v>19</v>
      </c>
      <c r="D12" s="4" t="str">
        <f>IFERROR(VLOOKUP('2ndA+'!E21,'2ndA+'!$D$8:$E$13,2,0),"-")</f>
        <v>AndYpsilon</v>
      </c>
      <c r="E12" s="4">
        <v>1</v>
      </c>
      <c r="F12" s="5" t="s">
        <v>19</v>
      </c>
      <c r="G12" s="4">
        <v>0</v>
      </c>
      <c r="H12" s="6"/>
      <c r="I12" s="4" t="s">
        <v>25</v>
      </c>
      <c r="J12" s="4" t="str">
        <f>IFERROR(VLOOKUP('2ndA+'!H21,'2ndA+'!$D$8:$E$13,2,0),"-")</f>
        <v>AndYpsilon</v>
      </c>
      <c r="K12" s="5" t="s">
        <v>19</v>
      </c>
      <c r="L12" s="4" t="str">
        <f>IFERROR(VLOOKUP('2ndA+'!J21,'2ndA+'!$D$8:$E$13,2,0),"-")</f>
        <v>Ruhbi</v>
      </c>
      <c r="M12" s="4">
        <v>4</v>
      </c>
      <c r="N12" s="5" t="s">
        <v>19</v>
      </c>
      <c r="O12" s="4">
        <v>1</v>
      </c>
    </row>
    <row r="13" spans="1:15" ht="18" customHeight="1" thickBot="1" x14ac:dyDescent="0.35">
      <c r="A13" s="4" t="s">
        <v>6</v>
      </c>
      <c r="B13" s="4" t="str">
        <f>IFERROR(VLOOKUP('2ndA+'!C22,'2ndA+'!$D$8:$E$13,2,0),"-")</f>
        <v>Team Oelkohold</v>
      </c>
      <c r="C13" s="5" t="s">
        <v>19</v>
      </c>
      <c r="D13" s="4" t="str">
        <f>IFERROR(VLOOKUP('2ndA+'!E22,'2ndA+'!$D$8:$E$13,2,0),"-")</f>
        <v>Sanek</v>
      </c>
      <c r="E13" s="4">
        <v>2</v>
      </c>
      <c r="F13" s="5" t="s">
        <v>19</v>
      </c>
      <c r="G13" s="4">
        <v>5</v>
      </c>
      <c r="H13" s="6"/>
      <c r="I13" s="4" t="s">
        <v>26</v>
      </c>
      <c r="J13" s="4" t="str">
        <f>IFERROR(VLOOKUP('2ndA+'!H22,'2ndA+'!$D$8:$E$13,2,0),"-")</f>
        <v>Sanek</v>
      </c>
      <c r="K13" s="5" t="s">
        <v>19</v>
      </c>
      <c r="L13" s="4" t="str">
        <f>IFERROR(VLOOKUP('2ndA+'!J22,'2ndA+'!$D$8:$E$13,2,0),"-")</f>
        <v>Team Oelkohold</v>
      </c>
      <c r="M13" s="4">
        <v>3</v>
      </c>
      <c r="N13" s="5" t="s">
        <v>19</v>
      </c>
      <c r="O13" s="4">
        <v>0</v>
      </c>
    </row>
    <row r="14" spans="1:15" ht="18" customHeight="1" thickBot="1" x14ac:dyDescent="0.35">
      <c r="A14" s="4" t="s">
        <v>7</v>
      </c>
      <c r="B14" s="4" t="str">
        <f>IFERROR(VLOOKUP('2ndA+'!C23,'2ndA+'!$D$8:$E$13,2,0),"-")</f>
        <v>Dior</v>
      </c>
      <c r="C14" s="5" t="s">
        <v>19</v>
      </c>
      <c r="D14" s="4" t="str">
        <f>IFERROR(VLOOKUP('2ndA+'!E23,'2ndA+'!$D$8:$E$13,2,0),"-")</f>
        <v>Ruhbi</v>
      </c>
      <c r="E14" s="4">
        <v>0</v>
      </c>
      <c r="F14" s="5" t="s">
        <v>19</v>
      </c>
      <c r="G14" s="4">
        <v>1</v>
      </c>
      <c r="H14" s="6"/>
      <c r="I14" s="4" t="s">
        <v>27</v>
      </c>
      <c r="J14" s="4" t="str">
        <f>IFERROR(VLOOKUP('2ndA+'!H23,'2ndA+'!$D$8:$E$13,2,0),"-")</f>
        <v>Ruhbi</v>
      </c>
      <c r="K14" s="5" t="s">
        <v>19</v>
      </c>
      <c r="L14" s="4" t="str">
        <f>IFERROR(VLOOKUP('2ndA+'!J23,'2ndA+'!$D$8:$E$13,2,0),"-")</f>
        <v>Dior</v>
      </c>
      <c r="M14" s="4">
        <v>1</v>
      </c>
      <c r="N14" s="5" t="s">
        <v>19</v>
      </c>
      <c r="O14" s="4">
        <v>1</v>
      </c>
    </row>
    <row r="15" spans="1:15" ht="18" customHeight="1" thickBot="1" x14ac:dyDescent="0.35">
      <c r="A15" s="4" t="s">
        <v>8</v>
      </c>
      <c r="B15" s="4" t="str">
        <f>IFERROR(VLOOKUP('2ndA+'!C24,'2ndA+'!$D$8:$E$13,2,0),"-")</f>
        <v>xflea</v>
      </c>
      <c r="C15" s="5" t="s">
        <v>19</v>
      </c>
      <c r="D15" s="4" t="str">
        <f>IFERROR(VLOOKUP('2ndA+'!E24,'2ndA+'!$D$8:$E$13,2,0),"-")</f>
        <v>AndYpsilon</v>
      </c>
      <c r="E15" s="4">
        <v>1</v>
      </c>
      <c r="F15" s="5" t="s">
        <v>19</v>
      </c>
      <c r="G15" s="4">
        <v>2</v>
      </c>
      <c r="H15" s="6"/>
      <c r="I15" s="4" t="s">
        <v>28</v>
      </c>
      <c r="J15" s="4" t="str">
        <f>IFERROR(VLOOKUP('2ndA+'!H24,'2ndA+'!$D$8:$E$13,2,0),"-")</f>
        <v>AndYpsilon</v>
      </c>
      <c r="K15" s="5" t="s">
        <v>19</v>
      </c>
      <c r="L15" s="4" t="str">
        <f>IFERROR(VLOOKUP('2ndA+'!J24,'2ndA+'!$D$8:$E$13,2,0),"-")</f>
        <v>xflea</v>
      </c>
      <c r="M15" s="4">
        <v>5</v>
      </c>
      <c r="N15" s="5" t="s">
        <v>19</v>
      </c>
      <c r="O15" s="4">
        <v>1</v>
      </c>
    </row>
    <row r="16" spans="1:15" ht="18" customHeight="1" thickBot="1" x14ac:dyDescent="0.35">
      <c r="A16" s="4" t="s">
        <v>9</v>
      </c>
      <c r="B16" s="4" t="str">
        <f>IFERROR(VLOOKUP('2ndA+'!C25,'2ndA+'!$D$8:$E$13,2,0),"-")</f>
        <v>Ruhbi</v>
      </c>
      <c r="C16" s="5" t="s">
        <v>19</v>
      </c>
      <c r="D16" s="4" t="str">
        <f>IFERROR(VLOOKUP('2ndA+'!E25,'2ndA+'!$D$8:$E$13,2,0),"-")</f>
        <v>Team Oelkohold</v>
      </c>
      <c r="E16" s="4">
        <v>5</v>
      </c>
      <c r="F16" s="5" t="s">
        <v>19</v>
      </c>
      <c r="G16" s="4">
        <v>1</v>
      </c>
      <c r="H16" s="6"/>
      <c r="I16" s="4" t="s">
        <v>29</v>
      </c>
      <c r="J16" s="4" t="str">
        <f>IFERROR(VLOOKUP('2ndA+'!H25,'2ndA+'!$D$8:$E$13,2,0),"-")</f>
        <v>Team Oelkohold</v>
      </c>
      <c r="K16" s="5" t="s">
        <v>19</v>
      </c>
      <c r="L16" s="4" t="str">
        <f>IFERROR(VLOOKUP('2ndA+'!J25,'2ndA+'!$D$8:$E$13,2,0),"-")</f>
        <v>Ruhbi</v>
      </c>
      <c r="M16" s="4">
        <v>2</v>
      </c>
      <c r="N16" s="5" t="s">
        <v>19</v>
      </c>
      <c r="O16" s="4">
        <v>3</v>
      </c>
    </row>
    <row r="17" spans="1:15" ht="18" customHeight="1" thickBot="1" x14ac:dyDescent="0.35">
      <c r="A17" s="4" t="s">
        <v>10</v>
      </c>
      <c r="B17" s="4" t="str">
        <f>IFERROR(VLOOKUP('2ndA+'!C26,'2ndA+'!$D$8:$E$13,2,0),"-")</f>
        <v>AndYpsilon</v>
      </c>
      <c r="C17" s="5" t="s">
        <v>19</v>
      </c>
      <c r="D17" s="4" t="str">
        <f>IFERROR(VLOOKUP('2ndA+'!E26,'2ndA+'!$D$8:$E$13,2,0),"-")</f>
        <v>Sanek</v>
      </c>
      <c r="E17" s="4">
        <v>2</v>
      </c>
      <c r="F17" s="5" t="s">
        <v>19</v>
      </c>
      <c r="G17" s="4">
        <v>3</v>
      </c>
      <c r="H17" s="6"/>
      <c r="I17" s="4" t="s">
        <v>30</v>
      </c>
      <c r="J17" s="4" t="str">
        <f>IFERROR(VLOOKUP('2ndA+'!H26,'2ndA+'!$D$8:$E$13,2,0),"-")</f>
        <v>Sanek</v>
      </c>
      <c r="K17" s="5" t="s">
        <v>19</v>
      </c>
      <c r="L17" s="4" t="str">
        <f>IFERROR(VLOOKUP('2ndA+'!J26,'2ndA+'!$D$8:$E$13,2,0),"-")</f>
        <v>AndYpsilon</v>
      </c>
      <c r="M17" s="4">
        <v>1</v>
      </c>
      <c r="N17" s="5" t="s">
        <v>19</v>
      </c>
      <c r="O17" s="4">
        <v>2</v>
      </c>
    </row>
    <row r="18" spans="1:15" ht="18" customHeight="1" thickBot="1" x14ac:dyDescent="0.35">
      <c r="A18" s="4" t="s">
        <v>11</v>
      </c>
      <c r="B18" s="4" t="str">
        <f>IFERROR(VLOOKUP('2ndA+'!C27,'2ndA+'!$D$8:$E$13,2,0),"-")</f>
        <v>xflea</v>
      </c>
      <c r="C18" s="5" t="s">
        <v>19</v>
      </c>
      <c r="D18" s="4" t="str">
        <f>IFERROR(VLOOKUP('2ndA+'!E27,'2ndA+'!$D$8:$E$13,2,0),"-")</f>
        <v>Dior</v>
      </c>
      <c r="E18" s="4">
        <v>3</v>
      </c>
      <c r="F18" s="5" t="s">
        <v>19</v>
      </c>
      <c r="G18" s="4">
        <v>1</v>
      </c>
      <c r="H18" s="6"/>
      <c r="I18" s="4" t="s">
        <v>31</v>
      </c>
      <c r="J18" s="4" t="str">
        <f>IFERROR(VLOOKUP('2ndA+'!H27,'2ndA+'!$D$8:$E$13,2,0),"-")</f>
        <v>Dior</v>
      </c>
      <c r="K18" s="5" t="s">
        <v>19</v>
      </c>
      <c r="L18" s="4" t="str">
        <f>IFERROR(VLOOKUP('2ndA+'!J27,'2ndA+'!$D$8:$E$13,2,0),"-")</f>
        <v>xflea</v>
      </c>
      <c r="M18" s="4">
        <v>1</v>
      </c>
      <c r="N18" s="5" t="s">
        <v>19</v>
      </c>
      <c r="O18" s="4">
        <v>4</v>
      </c>
    </row>
    <row r="19" spans="1:15" ht="18" customHeight="1" thickBot="1" x14ac:dyDescent="0.35">
      <c r="A19" s="4" t="s">
        <v>12</v>
      </c>
      <c r="B19" s="4" t="str">
        <f>IFERROR(VLOOKUP('2ndA+'!C28,'2ndA+'!$D$8:$E$13,2,0),"-")</f>
        <v>Team Oelkohold</v>
      </c>
      <c r="C19" s="5" t="s">
        <v>19</v>
      </c>
      <c r="D19" s="4" t="str">
        <f>IFERROR(VLOOKUP('2ndA+'!E28,'2ndA+'!$D$8:$E$13,2,0),"-")</f>
        <v>AndYpsilon</v>
      </c>
      <c r="E19" s="4">
        <v>1</v>
      </c>
      <c r="F19" s="5" t="s">
        <v>19</v>
      </c>
      <c r="G19" s="4">
        <v>0</v>
      </c>
      <c r="H19" s="6"/>
      <c r="I19" s="4" t="s">
        <v>32</v>
      </c>
      <c r="J19" s="4" t="str">
        <f>IFERROR(VLOOKUP('2ndA+'!H28,'2ndA+'!$D$8:$E$13,2,0),"-")</f>
        <v>AndYpsilon</v>
      </c>
      <c r="K19" s="5" t="s">
        <v>19</v>
      </c>
      <c r="L19" s="4" t="str">
        <f>IFERROR(VLOOKUP('2ndA+'!J28,'2ndA+'!$D$8:$E$13,2,0),"-")</f>
        <v>Team Oelkohold</v>
      </c>
      <c r="M19" s="4">
        <v>3</v>
      </c>
      <c r="N19" s="5" t="s">
        <v>19</v>
      </c>
      <c r="O19" s="4">
        <v>1</v>
      </c>
    </row>
    <row r="20" spans="1:15" ht="18" customHeight="1" thickBot="1" x14ac:dyDescent="0.35">
      <c r="A20" s="4" t="s">
        <v>13</v>
      </c>
      <c r="B20" s="4" t="str">
        <f>IFERROR(VLOOKUP('2ndA+'!C29,'2ndA+'!$D$8:$E$13,2,0),"-")</f>
        <v>Ruhbi</v>
      </c>
      <c r="C20" s="5" t="s">
        <v>19</v>
      </c>
      <c r="D20" s="4" t="str">
        <f>IFERROR(VLOOKUP('2ndA+'!E29,'2ndA+'!$D$8:$E$13,2,0),"-")</f>
        <v>xflea</v>
      </c>
      <c r="E20" s="4">
        <v>1</v>
      </c>
      <c r="F20" s="5" t="s">
        <v>19</v>
      </c>
      <c r="G20" s="4">
        <v>0</v>
      </c>
      <c r="H20" s="6"/>
      <c r="I20" s="4" t="s">
        <v>33</v>
      </c>
      <c r="J20" s="4" t="str">
        <f>IFERROR(VLOOKUP('2ndA+'!H29,'2ndA+'!$D$8:$E$13,2,0),"-")</f>
        <v>xflea</v>
      </c>
      <c r="K20" s="5" t="s">
        <v>19</v>
      </c>
      <c r="L20" s="4" t="str">
        <f>IFERROR(VLOOKUP('2ndA+'!J29,'2ndA+'!$D$8:$E$13,2,0),"-")</f>
        <v>Ruhbi</v>
      </c>
      <c r="M20" s="4">
        <v>2</v>
      </c>
      <c r="N20" s="5" t="s">
        <v>19</v>
      </c>
      <c r="O20" s="4">
        <v>2</v>
      </c>
    </row>
    <row r="21" spans="1:15" ht="18" customHeight="1" thickBot="1" x14ac:dyDescent="0.35">
      <c r="A21" s="4" t="s">
        <v>14</v>
      </c>
      <c r="B21" s="4" t="str">
        <f>IFERROR(VLOOKUP('2ndA+'!C30,'2ndA+'!$D$8:$E$13,2,0),"-")</f>
        <v>Sanek</v>
      </c>
      <c r="C21" s="5" t="s">
        <v>19</v>
      </c>
      <c r="D21" s="4" t="str">
        <f>IFERROR(VLOOKUP('2ndA+'!E30,'2ndA+'!$D$8:$E$13,2,0),"-")</f>
        <v>Dior</v>
      </c>
      <c r="E21" s="4">
        <v>4</v>
      </c>
      <c r="F21" s="5" t="s">
        <v>19</v>
      </c>
      <c r="G21" s="4">
        <v>0</v>
      </c>
      <c r="H21" s="6"/>
      <c r="I21" s="4" t="s">
        <v>34</v>
      </c>
      <c r="J21" s="4" t="str">
        <f>IFERROR(VLOOKUP('2ndA+'!H30,'2ndA+'!$D$8:$E$13,2,0),"-")</f>
        <v>Dior</v>
      </c>
      <c r="K21" s="5" t="s">
        <v>19</v>
      </c>
      <c r="L21" s="4" t="str">
        <f>IFERROR(VLOOKUP('2ndA+'!J30,'2ndA+'!$D$8:$E$13,2,0),"-")</f>
        <v>Sanek</v>
      </c>
      <c r="M21" s="4">
        <v>1</v>
      </c>
      <c r="N21" s="5" t="s">
        <v>19</v>
      </c>
      <c r="O21" s="4">
        <v>2</v>
      </c>
    </row>
  </sheetData>
  <mergeCells count="11">
    <mergeCell ref="E6:G6"/>
    <mergeCell ref="M6:O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J30"/>
  <sheetViews>
    <sheetView showGridLines="0" workbookViewId="0">
      <selection activeCell="N17" sqref="N17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66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6" t="s">
        <v>35</v>
      </c>
      <c r="F7" s="296"/>
      <c r="G7" s="296" t="s">
        <v>36</v>
      </c>
      <c r="H7" s="297"/>
      <c r="I7" s="10"/>
    </row>
    <row r="8" spans="2:10" x14ac:dyDescent="0.3">
      <c r="C8" s="8"/>
      <c r="D8" s="15">
        <v>1</v>
      </c>
      <c r="E8" s="267" t="str">
        <f>IF('Gr. A res'!T12&lt;84,"-",Table!C13)</f>
        <v>Sanek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tr">
        <f>IF('Gr. B res'!T10&lt;60,"-",Table!N13)</f>
        <v>AndYpsilon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tr">
        <f>IF('Gr. C res'!T10&lt;60,"-",Table!C24)</f>
        <v>xflea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tr">
        <f>IF('Gr. D res'!T10&lt;60,"-",Table!N25)</f>
        <v>Ruhbi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tr">
        <f>IF('Gr. E res'!T10&lt;60,"-",Table!C35)</f>
        <v>Dior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tr">
        <f>IF('Gr. F res'!T10&lt;60,"-",Table!N35)</f>
        <v>Team Oelkohold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44" t="s">
        <v>18</v>
      </c>
      <c r="C15" s="44" t="s">
        <v>15</v>
      </c>
      <c r="D15" s="44"/>
      <c r="E15" s="44" t="s">
        <v>16</v>
      </c>
      <c r="F15" s="3"/>
      <c r="G15" s="44" t="s">
        <v>18</v>
      </c>
      <c r="H15" s="44" t="s">
        <v>15</v>
      </c>
      <c r="I15" s="44"/>
      <c r="J15" s="44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topLeftCell="C1" workbookViewId="0">
      <selection activeCell="AA3" sqref="AA3:AA8"/>
    </sheetView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12" style="20" bestFit="1" customWidth="1"/>
    <col min="29" max="16384" width="8.88671875" style="20"/>
  </cols>
  <sheetData>
    <row r="1" spans="1:28" ht="28.8" x14ac:dyDescent="0.55000000000000004">
      <c r="A1" s="18" t="str">
        <f>'2ndA+'!D2</f>
        <v>2nd A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Sanek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7</v>
      </c>
      <c r="V3" s="21">
        <f t="array" ref="V3">SUM((home=S3)*(homescore=visitorscore)*ISNUMBER(visitorscore),(visitor=S3)*(visitorscore=homescore)*ISNUMBER(homescore))</f>
        <v>1</v>
      </c>
      <c r="W3" s="21">
        <f t="array" ref="W3">SUM((home=S3)*(homescore&lt;visitorscore),(visitor=S3)*(visitorscore&lt;homescore))</f>
        <v>2</v>
      </c>
      <c r="X3" s="32">
        <f t="shared" ref="X3" si="1">SUMIF(home,S3,homescore)+SUMIF(visitor,S3,visitorscore)</f>
        <v>27</v>
      </c>
      <c r="Y3" s="33">
        <f t="shared" ref="Y3" si="2">SUMIF(home,S3,visitorscore)+SUMIF(visitor,S3,homescore)</f>
        <v>12</v>
      </c>
      <c r="Z3" s="34">
        <f>X3-Y3</f>
        <v>15</v>
      </c>
      <c r="AA3" s="32">
        <f>U3*3+V3</f>
        <v>22</v>
      </c>
      <c r="AB3" s="20">
        <f>X3+Z3*10000+AA3*1000000000</f>
        <v>22000150027</v>
      </c>
    </row>
    <row r="4" spans="1:28" x14ac:dyDescent="0.3">
      <c r="A4" s="35" t="str">
        <f>'2ndA+'!E8</f>
        <v>Sanek</v>
      </c>
      <c r="B4" s="19"/>
      <c r="C4" s="19"/>
      <c r="S4" s="36" t="str">
        <f t="shared" si="0"/>
        <v>AndYpsilon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7</v>
      </c>
      <c r="V4" s="21">
        <f t="array" ref="V4">SUM((home=S4)*(homescore=visitorscore)*ISNUMBER(visitorscore),(visitor=S4)*(visitorscore=homescore)*ISNUMBER(homescore))</f>
        <v>0</v>
      </c>
      <c r="W4" s="21">
        <f t="array" ref="W4">SUM((home=S4)*(homescore&lt;visitorscore),(visitor=S4)*(visitorscore&lt;homescore))</f>
        <v>3</v>
      </c>
      <c r="X4" s="32">
        <f t="shared" ref="X4" si="3">SUMIF(home,S4,homescore)+SUMIF(visitor,S4,visitorscore)</f>
        <v>30</v>
      </c>
      <c r="Y4" s="33">
        <f t="shared" ref="Y4" si="4">SUMIF(home,S4,visitorscore)+SUMIF(visitor,S4,homescore)</f>
        <v>11</v>
      </c>
      <c r="Z4" s="34">
        <f t="shared" ref="Z4:Z8" si="5">X4-Y4</f>
        <v>19</v>
      </c>
      <c r="AA4" s="32">
        <f t="shared" ref="AA4:AA8" si="6">U4*3+V4</f>
        <v>21</v>
      </c>
      <c r="AB4" s="20">
        <f t="shared" ref="AB4:AB8" si="7">X4+Z4*10000+AA4*1000000000</f>
        <v>21000190030</v>
      </c>
    </row>
    <row r="5" spans="1:28" x14ac:dyDescent="0.3">
      <c r="A5" s="35" t="str">
        <f>'2ndA+'!E9</f>
        <v>AndYpsilon</v>
      </c>
      <c r="B5" s="19"/>
      <c r="C5" s="19"/>
      <c r="S5" s="36" t="str">
        <f t="shared" si="0"/>
        <v>xflea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3</v>
      </c>
      <c r="V5" s="21">
        <f t="array" ref="V5">SUM((home=S5)*(homescore=visitorscore)*ISNUMBER(visitorscore),(visitor=S5)*(visitorscore=homescore)*ISNUMBER(homescore))</f>
        <v>1</v>
      </c>
      <c r="W5" s="21">
        <f t="array" ref="W5">SUM((home=S5)*(homescore&lt;visitorscore),(visitor=S5)*(visitorscore&lt;homescore))</f>
        <v>6</v>
      </c>
      <c r="X5" s="32">
        <f t="shared" ref="X5" si="8">SUMIF(home,S5,homescore)+SUMIF(visitor,S5,visitorscore)</f>
        <v>16</v>
      </c>
      <c r="Y5" s="33">
        <f t="shared" ref="Y5" si="9">SUMIF(home,S5,visitorscore)+SUMIF(visitor,S5,homescore)</f>
        <v>24</v>
      </c>
      <c r="Z5" s="34">
        <f t="shared" si="5"/>
        <v>-8</v>
      </c>
      <c r="AA5" s="32">
        <f t="shared" si="6"/>
        <v>10</v>
      </c>
      <c r="AB5" s="20">
        <f t="shared" si="7"/>
        <v>9999920016</v>
      </c>
    </row>
    <row r="6" spans="1:28" x14ac:dyDescent="0.3">
      <c r="A6" s="35" t="str">
        <f>'2ndA+'!E10</f>
        <v>xflea</v>
      </c>
      <c r="B6" s="19"/>
      <c r="C6" s="19"/>
      <c r="S6" s="36" t="str">
        <f t="shared" si="0"/>
        <v>Ruhbi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6</v>
      </c>
      <c r="V6" s="21">
        <f t="array" ref="V6">SUM((home=S6)*(homescore=visitorscore)*ISNUMBER(visitorscore),(visitor=S6)*(visitorscore=homescore)*ISNUMBER(homescore))</f>
        <v>3</v>
      </c>
      <c r="W6" s="21">
        <f t="array" ref="W6">SUM((home=S6)*(homescore&lt;visitorscore),(visitor=S6)*(visitorscore&lt;homescore))</f>
        <v>1</v>
      </c>
      <c r="X6" s="32">
        <f t="shared" ref="X6" si="10">SUMIF(home,S6,homescore)+SUMIF(visitor,S6,visitorscore)</f>
        <v>19</v>
      </c>
      <c r="Y6" s="33">
        <f t="shared" ref="Y6" si="11">SUMIF(home,S6,visitorscore)+SUMIF(visitor,S6,homescore)</f>
        <v>13</v>
      </c>
      <c r="Z6" s="34">
        <f t="shared" si="5"/>
        <v>6</v>
      </c>
      <c r="AA6" s="32">
        <f t="shared" si="6"/>
        <v>21</v>
      </c>
      <c r="AB6" s="20">
        <f t="shared" si="7"/>
        <v>21000060019</v>
      </c>
    </row>
    <row r="7" spans="1:28" x14ac:dyDescent="0.3">
      <c r="A7" s="35" t="str">
        <f>'2ndA+'!E11</f>
        <v>Ruhbi</v>
      </c>
      <c r="B7" s="19"/>
      <c r="C7" s="19"/>
      <c r="S7" s="37" t="str">
        <f t="shared" si="0"/>
        <v>Dior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0</v>
      </c>
      <c r="V7" s="21">
        <f t="array" ref="V7">SUM((home=S7)*(homescore=visitorscore)*ISNUMBER(visitorscore),(visitor=S7)*(visitorscore=homescore)*ISNUMBER(homescore))</f>
        <v>1</v>
      </c>
      <c r="W7" s="21">
        <f t="array" ref="W7">SUM((home=S7)*(homescore&lt;visitorscore),(visitor=S7)*(visitorscore&lt;homescore))</f>
        <v>9</v>
      </c>
      <c r="X7" s="32">
        <f t="shared" ref="X7" si="12">SUMIF(home,S7,homescore)+SUMIF(visitor,S7,visitorscore)</f>
        <v>6</v>
      </c>
      <c r="Y7" s="33">
        <f t="shared" ref="Y7" si="13">SUMIF(home,S7,visitorscore)+SUMIF(visitor,S7,homescore)</f>
        <v>33</v>
      </c>
      <c r="Z7" s="34">
        <f t="shared" si="5"/>
        <v>-27</v>
      </c>
      <c r="AA7" s="32">
        <f t="shared" si="6"/>
        <v>1</v>
      </c>
      <c r="AB7" s="20">
        <f t="shared" si="7"/>
        <v>999730006</v>
      </c>
    </row>
    <row r="8" spans="1:28" x14ac:dyDescent="0.3">
      <c r="A8" s="35" t="str">
        <f>'2ndA+'!E12</f>
        <v>Dior</v>
      </c>
      <c r="B8" s="19"/>
      <c r="C8" s="19"/>
      <c r="S8" s="37" t="str">
        <f t="shared" si="0"/>
        <v>Team Oelkohold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4</v>
      </c>
      <c r="V8" s="21">
        <f t="array" ref="V8">SUM((home=S8)*(homescore=visitorscore)*ISNUMBER(visitorscore),(visitor=S8)*(visitorscore=homescore)*ISNUMBER(homescore))</f>
        <v>0</v>
      </c>
      <c r="W8" s="21">
        <f t="array" ref="W8">SUM((home=S8)*(homescore&lt;visitorscore),(visitor=S8)*(visitorscore&lt;homescore))</f>
        <v>6</v>
      </c>
      <c r="X8" s="32">
        <f t="shared" ref="X8" si="14">SUMIF(home,S8,homescore)+SUMIF(visitor,S8,visitorscore)</f>
        <v>19</v>
      </c>
      <c r="Y8" s="33">
        <f t="shared" ref="Y8" si="15">SUMIF(home,S8,visitorscore)+SUMIF(visitor,S8,homescore)</f>
        <v>24</v>
      </c>
      <c r="Z8" s="34">
        <f t="shared" si="5"/>
        <v>-5</v>
      </c>
      <c r="AA8" s="32">
        <f t="shared" si="6"/>
        <v>12</v>
      </c>
      <c r="AB8" s="20">
        <f t="shared" si="7"/>
        <v>11999950019</v>
      </c>
    </row>
    <row r="9" spans="1:28" x14ac:dyDescent="0.3">
      <c r="A9" s="35" t="str">
        <f>'2ndA+'!E13</f>
        <v>Team Oelkohold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'2ndA'!B7</f>
        <v>Team Oelkohold</v>
      </c>
      <c r="B13" s="39" t="str">
        <f>'2ndA'!D7</f>
        <v>xflea</v>
      </c>
      <c r="C13" s="40">
        <f>IF('2ndA'!E7="","",'2ndA'!E7)</f>
        <v>5</v>
      </c>
      <c r="D13" s="40" t="s">
        <v>64</v>
      </c>
      <c r="E13" s="40">
        <f>IF('2ndA'!G7="","",'2ndA'!G7)</f>
        <v>1</v>
      </c>
      <c r="F13" s="34"/>
    </row>
    <row r="14" spans="1:28" x14ac:dyDescent="0.3">
      <c r="A14" s="39" t="str">
        <f>'2ndA'!B8</f>
        <v>AndYpsilon</v>
      </c>
      <c r="B14" s="39" t="str">
        <f>'2ndA'!D8</f>
        <v>Dior</v>
      </c>
      <c r="C14" s="40">
        <f>IF('2ndA'!E8="","",'2ndA'!E8)</f>
        <v>10</v>
      </c>
      <c r="D14" s="40" t="s">
        <v>64</v>
      </c>
      <c r="E14" s="40">
        <f>IF('2ndA'!G8="","",'2ndA'!G8)</f>
        <v>0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'2ndA'!B9</f>
        <v>Ruhbi</v>
      </c>
      <c r="B15" s="39" t="str">
        <f>'2ndA'!D9</f>
        <v>Sanek</v>
      </c>
      <c r="C15" s="40">
        <f>IF('2ndA'!E9="","",'2ndA'!E9)</f>
        <v>2</v>
      </c>
      <c r="D15" s="40" t="s">
        <v>64</v>
      </c>
      <c r="E15" s="40">
        <f>IF('2ndA'!G9="","",'2ndA'!G9)</f>
        <v>1</v>
      </c>
      <c r="F15" s="34"/>
      <c r="H15" s="42" t="str">
        <f t="array" ref="H15">INDEX($S$3:$S$8,MATCH(LARGE($AB$3:$AB$8-ROW($AB$3:$AB$8)/COUNT($AB$3:$AB$8),ROW(H15)-ROW(H$15)+1),$AB$3:$AB$8-ROW($AB$3:$AB$8)/COUNT($AB$3:$AB$8),0))</f>
        <v>Sanek</v>
      </c>
      <c r="I15" s="33">
        <f t="shared" ref="I15:I20" si="16">VLOOKUP($H15,$S$3:$AA$8,2,0)</f>
        <v>10</v>
      </c>
      <c r="J15" s="21">
        <f t="shared" ref="J15:J20" si="17">VLOOKUP($H15,$S$3:$AA$8,3,0)</f>
        <v>7</v>
      </c>
      <c r="K15" s="21">
        <f t="shared" ref="K15:K20" si="18">VLOOKUP($H15,$S$3:$AA$8,4,0)</f>
        <v>1</v>
      </c>
      <c r="L15" s="21">
        <f t="shared" ref="L15:L20" si="19">VLOOKUP($H15,$S$3:$AA$8,5,0)</f>
        <v>2</v>
      </c>
      <c r="M15" s="32">
        <f t="shared" ref="M15:M20" si="20">VLOOKUP($H15,$S$3:$AA$8,6,0)</f>
        <v>27</v>
      </c>
      <c r="N15" s="33">
        <f t="shared" ref="N15:N20" si="21">VLOOKUP($H15,$S$3:$AA$8,7,0)</f>
        <v>12</v>
      </c>
      <c r="O15" s="21">
        <f t="shared" ref="O15:O20" si="22">VLOOKUP($H15,$S$3:$AA$8,8,0)</f>
        <v>15</v>
      </c>
      <c r="P15" s="32">
        <f t="shared" ref="P15:P20" si="23">VLOOKUP($H15,$S$3:$AA$8,9,0)</f>
        <v>22</v>
      </c>
      <c r="Q15" s="21">
        <f>VLOOKUP(H15,'2ndA+'!$E$8:$H$15,3,0)</f>
        <v>0</v>
      </c>
    </row>
    <row r="16" spans="1:28" x14ac:dyDescent="0.3">
      <c r="A16" s="39" t="str">
        <f>'2ndA'!B10</f>
        <v>Dior</v>
      </c>
      <c r="B16" s="39" t="str">
        <f>'2ndA'!D10</f>
        <v>Team Oelkohold</v>
      </c>
      <c r="C16" s="40">
        <f>IF('2ndA'!E10="","",'2ndA'!E10)</f>
        <v>1</v>
      </c>
      <c r="D16" s="40" t="s">
        <v>64</v>
      </c>
      <c r="E16" s="40">
        <f>IF('2ndA'!G10="","",'2ndA'!G10)</f>
        <v>2</v>
      </c>
      <c r="F16" s="34"/>
      <c r="H16" s="42" t="str">
        <f t="array" ref="H16">INDEX($S$3:$S$8,MATCH(LARGE($AB$3:$AB$8-ROW($AB$3:$AB$8)/COUNT($AB$3:$AB$8),ROW(H16)-ROW(H$15)+1),$AB$3:$AB$8-ROW($AB$3:$AB$8)/COUNT($AB$3:$AB$8),0))</f>
        <v>AndYpsilon</v>
      </c>
      <c r="I16" s="33">
        <f t="shared" si="16"/>
        <v>10</v>
      </c>
      <c r="J16" s="21">
        <f t="shared" si="17"/>
        <v>7</v>
      </c>
      <c r="K16" s="21">
        <f t="shared" si="18"/>
        <v>0</v>
      </c>
      <c r="L16" s="21">
        <f t="shared" si="19"/>
        <v>3</v>
      </c>
      <c r="M16" s="32">
        <f t="shared" si="20"/>
        <v>30</v>
      </c>
      <c r="N16" s="33">
        <f t="shared" si="21"/>
        <v>11</v>
      </c>
      <c r="O16" s="21">
        <f t="shared" si="22"/>
        <v>19</v>
      </c>
      <c r="P16" s="32">
        <f t="shared" si="23"/>
        <v>21</v>
      </c>
      <c r="Q16" s="21">
        <f>VLOOKUP(H16,'2ndA+'!$E$8:$H$15,3,0)</f>
        <v>0</v>
      </c>
    </row>
    <row r="17" spans="1:17" x14ac:dyDescent="0.3">
      <c r="A17" s="39" t="str">
        <f>'2ndA'!B11</f>
        <v>Sanek</v>
      </c>
      <c r="B17" s="39" t="str">
        <f>'2ndA'!D11</f>
        <v>xflea</v>
      </c>
      <c r="C17" s="40">
        <f>IF('2ndA'!E11="","",'2ndA'!E11)</f>
        <v>3</v>
      </c>
      <c r="D17" s="40" t="s">
        <v>64</v>
      </c>
      <c r="E17" s="40">
        <f>IF('2ndA'!G11="","",'2ndA'!G11)</f>
        <v>1</v>
      </c>
      <c r="F17" s="34"/>
      <c r="H17" s="42" t="str">
        <f t="array" ref="H17">INDEX($S$3:$S$8,MATCH(LARGE($AB$3:$AB$8-ROW($AB$3:$AB$8)/COUNT($AB$3:$AB$8),ROW(H17)-ROW(H$15)+1),$AB$3:$AB$8-ROW($AB$3:$AB$8)/COUNT($AB$3:$AB$8),0))</f>
        <v>Ruhbi</v>
      </c>
      <c r="I17" s="33">
        <f t="shared" si="16"/>
        <v>10</v>
      </c>
      <c r="J17" s="21">
        <f t="shared" si="17"/>
        <v>6</v>
      </c>
      <c r="K17" s="21">
        <f t="shared" si="18"/>
        <v>3</v>
      </c>
      <c r="L17" s="21">
        <f t="shared" si="19"/>
        <v>1</v>
      </c>
      <c r="M17" s="32">
        <f t="shared" si="20"/>
        <v>19</v>
      </c>
      <c r="N17" s="33">
        <f t="shared" si="21"/>
        <v>13</v>
      </c>
      <c r="O17" s="21">
        <f t="shared" si="22"/>
        <v>6</v>
      </c>
      <c r="P17" s="32">
        <f t="shared" si="23"/>
        <v>21</v>
      </c>
      <c r="Q17" s="21">
        <f>VLOOKUP(H17,'2ndA+'!$E$8:$H$15,3,0)</f>
        <v>0</v>
      </c>
    </row>
    <row r="18" spans="1:17" x14ac:dyDescent="0.3">
      <c r="A18" s="39" t="str">
        <f>'2ndA'!B12</f>
        <v>Ruhbi</v>
      </c>
      <c r="B18" s="39" t="str">
        <f>'2ndA'!D12</f>
        <v>AndYpsilon</v>
      </c>
      <c r="C18" s="40">
        <f>IF('2ndA'!E12="","",'2ndA'!E12)</f>
        <v>1</v>
      </c>
      <c r="D18" s="40" t="s">
        <v>64</v>
      </c>
      <c r="E18" s="40">
        <f>IF('2ndA'!G12="","",'2ndA'!G12)</f>
        <v>0</v>
      </c>
      <c r="F18" s="34"/>
      <c r="H18" s="42" t="str">
        <f t="array" ref="H18">INDEX($S$3:$S$8,MATCH(LARGE($AB$3:$AB$8-ROW($AB$3:$AB$8)/COUNT($AB$3:$AB$8),ROW(H18)-ROW(H$15)+1),$AB$3:$AB$8-ROW($AB$3:$AB$8)/COUNT($AB$3:$AB$8),0))</f>
        <v>Team Oelkohold</v>
      </c>
      <c r="I18" s="33">
        <f t="shared" si="16"/>
        <v>10</v>
      </c>
      <c r="J18" s="21">
        <f t="shared" si="17"/>
        <v>4</v>
      </c>
      <c r="K18" s="21">
        <f t="shared" si="18"/>
        <v>0</v>
      </c>
      <c r="L18" s="21">
        <f t="shared" si="19"/>
        <v>6</v>
      </c>
      <c r="M18" s="32">
        <f t="shared" si="20"/>
        <v>19</v>
      </c>
      <c r="N18" s="33">
        <f t="shared" si="21"/>
        <v>24</v>
      </c>
      <c r="O18" s="21">
        <f t="shared" si="22"/>
        <v>-5</v>
      </c>
      <c r="P18" s="32">
        <f t="shared" si="23"/>
        <v>12</v>
      </c>
      <c r="Q18" s="21">
        <f>VLOOKUP(H18,'2ndA+'!$E$8:$H$15,3,0)</f>
        <v>0</v>
      </c>
    </row>
    <row r="19" spans="1:17" x14ac:dyDescent="0.3">
      <c r="A19" s="39" t="str">
        <f>'2ndA'!B13</f>
        <v>Team Oelkohold</v>
      </c>
      <c r="B19" s="39" t="str">
        <f>'2ndA'!D13</f>
        <v>Sanek</v>
      </c>
      <c r="C19" s="40">
        <f>IF('2ndA'!E13="","",'2ndA'!E13)</f>
        <v>2</v>
      </c>
      <c r="D19" s="40" t="s">
        <v>64</v>
      </c>
      <c r="E19" s="40">
        <f>IF('2ndA'!G13="","",'2ndA'!G13)</f>
        <v>5</v>
      </c>
      <c r="H19" s="42" t="str">
        <f t="array" ref="H19">INDEX($S$3:$S$8,MATCH(LARGE($AB$3:$AB$8-ROW($AB$3:$AB$8)/COUNT($AB$3:$AB$8),ROW(H19)-ROW(H$15)+1),$AB$3:$AB$8-ROW($AB$3:$AB$8)/COUNT($AB$3:$AB$8),0))</f>
        <v>xflea</v>
      </c>
      <c r="I19" s="33">
        <f t="shared" si="16"/>
        <v>10</v>
      </c>
      <c r="J19" s="21">
        <f t="shared" si="17"/>
        <v>3</v>
      </c>
      <c r="K19" s="21">
        <f t="shared" si="18"/>
        <v>1</v>
      </c>
      <c r="L19" s="21">
        <f t="shared" si="19"/>
        <v>6</v>
      </c>
      <c r="M19" s="32">
        <f t="shared" si="20"/>
        <v>16</v>
      </c>
      <c r="N19" s="33">
        <f t="shared" si="21"/>
        <v>24</v>
      </c>
      <c r="O19" s="21">
        <f t="shared" si="22"/>
        <v>-8</v>
      </c>
      <c r="P19" s="32">
        <f t="shared" si="23"/>
        <v>10</v>
      </c>
      <c r="Q19" s="21">
        <f>VLOOKUP(H19,'2ndA+'!$E$8:$H$15,3,0)</f>
        <v>0</v>
      </c>
    </row>
    <row r="20" spans="1:17" x14ac:dyDescent="0.3">
      <c r="A20" s="39" t="str">
        <f>'2ndA'!B14</f>
        <v>Dior</v>
      </c>
      <c r="B20" s="39" t="str">
        <f>'2ndA'!D14</f>
        <v>Ruhbi</v>
      </c>
      <c r="C20" s="40">
        <f>IF('2ndA'!E14="","",'2ndA'!E14)</f>
        <v>0</v>
      </c>
      <c r="D20" s="40" t="s">
        <v>64</v>
      </c>
      <c r="E20" s="40">
        <f>IF('2ndA'!G14="","",'2ndA'!G14)</f>
        <v>1</v>
      </c>
      <c r="H20" s="42" t="str">
        <f t="array" ref="H20">INDEX($S$3:$S$8,MATCH(LARGE($AB$3:$AB$8-ROW($AB$3:$AB$8)/COUNT($AB$3:$AB$8),ROW(H20)-ROW(H$15)+1),$AB$3:$AB$8-ROW($AB$3:$AB$8)/COUNT($AB$3:$AB$8),0))</f>
        <v>Dior</v>
      </c>
      <c r="I20" s="33">
        <f t="shared" si="16"/>
        <v>10</v>
      </c>
      <c r="J20" s="21">
        <f t="shared" si="17"/>
        <v>0</v>
      </c>
      <c r="K20" s="21">
        <f t="shared" si="18"/>
        <v>1</v>
      </c>
      <c r="L20" s="21">
        <f t="shared" si="19"/>
        <v>9</v>
      </c>
      <c r="M20" s="32">
        <f t="shared" si="20"/>
        <v>6</v>
      </c>
      <c r="N20" s="33">
        <f t="shared" si="21"/>
        <v>33</v>
      </c>
      <c r="O20" s="21">
        <f t="shared" si="22"/>
        <v>-27</v>
      </c>
      <c r="P20" s="32">
        <f t="shared" si="23"/>
        <v>1</v>
      </c>
      <c r="Q20" s="21">
        <f>VLOOKUP(H20,'2ndA+'!$E$8:$H$15,3,0)</f>
        <v>0</v>
      </c>
    </row>
    <row r="21" spans="1:17" x14ac:dyDescent="0.3">
      <c r="A21" s="39" t="str">
        <f>'2ndA'!B15</f>
        <v>xflea</v>
      </c>
      <c r="B21" s="39" t="str">
        <f>'2ndA'!D15</f>
        <v>AndYpsilon</v>
      </c>
      <c r="C21" s="40">
        <f>IF('2ndA'!E15="","",'2ndA'!E15)</f>
        <v>1</v>
      </c>
      <c r="D21" s="40" t="s">
        <v>64</v>
      </c>
      <c r="E21" s="40">
        <f>IF('2ndA'!G15="","",'2ndA'!G15)</f>
        <v>2</v>
      </c>
    </row>
    <row r="22" spans="1:17" x14ac:dyDescent="0.3">
      <c r="A22" s="39" t="str">
        <f>'2ndA'!B16</f>
        <v>Ruhbi</v>
      </c>
      <c r="B22" s="39" t="str">
        <f>'2ndA'!D16</f>
        <v>Team Oelkohold</v>
      </c>
      <c r="C22" s="40">
        <f>IF('2ndA'!E16="","",'2ndA'!E16)</f>
        <v>5</v>
      </c>
      <c r="D22" s="40" t="s">
        <v>64</v>
      </c>
      <c r="E22" s="40">
        <f>IF('2ndA'!G16="","",'2ndA'!G16)</f>
        <v>1</v>
      </c>
    </row>
    <row r="23" spans="1:17" x14ac:dyDescent="0.3">
      <c r="A23" s="39" t="str">
        <f>'2ndA'!B17</f>
        <v>AndYpsilon</v>
      </c>
      <c r="B23" s="39" t="str">
        <f>'2ndA'!D17</f>
        <v>Sanek</v>
      </c>
      <c r="C23" s="40">
        <f>IF('2ndA'!E17="","",'2ndA'!E17)</f>
        <v>2</v>
      </c>
      <c r="D23" s="40" t="s">
        <v>64</v>
      </c>
      <c r="E23" s="40">
        <f>IF('2ndA'!G17="","",'2ndA'!G17)</f>
        <v>3</v>
      </c>
    </row>
    <row r="24" spans="1:17" x14ac:dyDescent="0.3">
      <c r="A24" s="39" t="str">
        <f>'2ndA'!B18</f>
        <v>xflea</v>
      </c>
      <c r="B24" s="39" t="str">
        <f>'2ndA'!D18</f>
        <v>Dior</v>
      </c>
      <c r="C24" s="40">
        <f>IF('2ndA'!E18="","",'2ndA'!E18)</f>
        <v>3</v>
      </c>
      <c r="D24" s="40" t="s">
        <v>64</v>
      </c>
      <c r="E24" s="40">
        <f>IF('2ndA'!G18="","",'2ndA'!G18)</f>
        <v>1</v>
      </c>
    </row>
    <row r="25" spans="1:17" x14ac:dyDescent="0.3">
      <c r="A25" s="39" t="str">
        <f>'2ndA'!B19</f>
        <v>Team Oelkohold</v>
      </c>
      <c r="B25" s="39" t="str">
        <f>'2ndA'!D19</f>
        <v>AndYpsilon</v>
      </c>
      <c r="C25" s="40">
        <f>IF('2ndA'!E19="","",'2ndA'!E19)</f>
        <v>1</v>
      </c>
      <c r="D25" s="40" t="s">
        <v>64</v>
      </c>
      <c r="E25" s="40">
        <f>IF('2ndA'!G19="","",'2ndA'!G19)</f>
        <v>0</v>
      </c>
    </row>
    <row r="26" spans="1:17" x14ac:dyDescent="0.3">
      <c r="A26" s="39" t="str">
        <f>'2ndA'!B20</f>
        <v>Ruhbi</v>
      </c>
      <c r="B26" s="39" t="str">
        <f>'2ndA'!D20</f>
        <v>xflea</v>
      </c>
      <c r="C26" s="40">
        <f>IF('2ndA'!E20="","",'2ndA'!E20)</f>
        <v>1</v>
      </c>
      <c r="D26" s="40" t="s">
        <v>64</v>
      </c>
      <c r="E26" s="40">
        <f>IF('2ndA'!G20="","",'2ndA'!G20)</f>
        <v>0</v>
      </c>
    </row>
    <row r="27" spans="1:17" x14ac:dyDescent="0.3">
      <c r="A27" s="39" t="str">
        <f>'2ndA'!B21</f>
        <v>Sanek</v>
      </c>
      <c r="B27" s="39" t="str">
        <f>'2ndA'!D21</f>
        <v>Dior</v>
      </c>
      <c r="C27" s="40">
        <f>IF('2ndA'!E21="","",'2ndA'!E21)</f>
        <v>4</v>
      </c>
      <c r="D27" s="40" t="s">
        <v>64</v>
      </c>
      <c r="E27" s="40">
        <f>IF('2ndA'!G21="","",'2ndA'!G21)</f>
        <v>0</v>
      </c>
    </row>
    <row r="28" spans="1:17" x14ac:dyDescent="0.3">
      <c r="A28" s="39" t="str">
        <f>'2ndA'!J7</f>
        <v>xflea</v>
      </c>
      <c r="B28" s="39" t="str">
        <f>'2ndA'!L7</f>
        <v>Team Oelkohold</v>
      </c>
      <c r="C28" s="40">
        <f>IF('2ndA'!M7="","",'2ndA'!M7)</f>
        <v>3</v>
      </c>
      <c r="D28" s="40" t="s">
        <v>64</v>
      </c>
      <c r="E28" s="40">
        <f>IF('2ndA'!O7="","",'2ndA'!O7)</f>
        <v>1</v>
      </c>
    </row>
    <row r="29" spans="1:17" x14ac:dyDescent="0.3">
      <c r="A29" s="39" t="str">
        <f>'2ndA'!J8</f>
        <v>Dior</v>
      </c>
      <c r="B29" s="39" t="str">
        <f>'2ndA'!L8</f>
        <v>AndYpsilon</v>
      </c>
      <c r="C29" s="40">
        <f>IF('2ndA'!M8="","",'2ndA'!M8)</f>
        <v>1</v>
      </c>
      <c r="D29" s="40" t="s">
        <v>64</v>
      </c>
      <c r="E29" s="40">
        <f>IF('2ndA'!O8="","",'2ndA'!O8)</f>
        <v>2</v>
      </c>
    </row>
    <row r="30" spans="1:17" x14ac:dyDescent="0.3">
      <c r="A30" s="39" t="str">
        <f>'2ndA'!J9</f>
        <v>Sanek</v>
      </c>
      <c r="B30" s="39" t="str">
        <f>'2ndA'!L9</f>
        <v>Ruhbi</v>
      </c>
      <c r="C30" s="40">
        <f>IF('2ndA'!M9="","",'2ndA'!M9)</f>
        <v>2</v>
      </c>
      <c r="D30" s="40" t="s">
        <v>64</v>
      </c>
      <c r="E30" s="40">
        <f>IF('2ndA'!O9="","",'2ndA'!O9)</f>
        <v>2</v>
      </c>
    </row>
    <row r="31" spans="1:17" x14ac:dyDescent="0.3">
      <c r="A31" s="39" t="str">
        <f>'2ndA'!J10</f>
        <v>Team Oelkohold</v>
      </c>
      <c r="B31" s="39" t="str">
        <f>'2ndA'!L10</f>
        <v>Dior</v>
      </c>
      <c r="C31" s="40">
        <f>IF('2ndA'!M10="","",'2ndA'!M10)</f>
        <v>4</v>
      </c>
      <c r="D31" s="40" t="s">
        <v>64</v>
      </c>
      <c r="E31" s="40">
        <f>IF('2ndA'!O10="","",'2ndA'!O10)</f>
        <v>0</v>
      </c>
    </row>
    <row r="32" spans="1:17" x14ac:dyDescent="0.3">
      <c r="A32" s="39" t="str">
        <f>'2ndA'!J11</f>
        <v>xflea</v>
      </c>
      <c r="B32" s="39" t="str">
        <f>'2ndA'!L11</f>
        <v>Sanek</v>
      </c>
      <c r="C32" s="40">
        <f>IF('2ndA'!M11="","",'2ndA'!M11)</f>
        <v>0</v>
      </c>
      <c r="D32" s="40" t="s">
        <v>64</v>
      </c>
      <c r="E32" s="40">
        <f>IF('2ndA'!O11="","",'2ndA'!O11)</f>
        <v>3</v>
      </c>
    </row>
    <row r="33" spans="1:5" x14ac:dyDescent="0.3">
      <c r="A33" s="39" t="str">
        <f>'2ndA'!J12</f>
        <v>AndYpsilon</v>
      </c>
      <c r="B33" s="39" t="str">
        <f>'2ndA'!L12</f>
        <v>Ruhbi</v>
      </c>
      <c r="C33" s="40">
        <f>IF('2ndA'!M12="","",'2ndA'!M12)</f>
        <v>4</v>
      </c>
      <c r="D33" s="40" t="s">
        <v>64</v>
      </c>
      <c r="E33" s="40">
        <f>IF('2ndA'!O12="","",'2ndA'!O12)</f>
        <v>1</v>
      </c>
    </row>
    <row r="34" spans="1:5" x14ac:dyDescent="0.3">
      <c r="A34" s="39" t="str">
        <f>'2ndA'!J13</f>
        <v>Sanek</v>
      </c>
      <c r="B34" s="39" t="str">
        <f>'2ndA'!L13</f>
        <v>Team Oelkohold</v>
      </c>
      <c r="C34" s="40">
        <f>IF('2ndA'!M13="","",'2ndA'!M13)</f>
        <v>3</v>
      </c>
      <c r="D34" s="40" t="s">
        <v>64</v>
      </c>
      <c r="E34" s="40">
        <f>IF('2ndA'!O13="","",'2ndA'!O13)</f>
        <v>0</v>
      </c>
    </row>
    <row r="35" spans="1:5" x14ac:dyDescent="0.3">
      <c r="A35" s="39" t="str">
        <f>'2ndA'!J14</f>
        <v>Ruhbi</v>
      </c>
      <c r="B35" s="39" t="str">
        <f>'2ndA'!L14</f>
        <v>Dior</v>
      </c>
      <c r="C35" s="40">
        <f>IF('2ndA'!M14="","",'2ndA'!M14)</f>
        <v>1</v>
      </c>
      <c r="D35" s="40" t="s">
        <v>64</v>
      </c>
      <c r="E35" s="40">
        <f>IF('2ndA'!O14="","",'2ndA'!O14)</f>
        <v>1</v>
      </c>
    </row>
    <row r="36" spans="1:5" x14ac:dyDescent="0.3">
      <c r="A36" s="39" t="str">
        <f>'2ndA'!J15</f>
        <v>AndYpsilon</v>
      </c>
      <c r="B36" s="39" t="str">
        <f>'2ndA'!L15</f>
        <v>xflea</v>
      </c>
      <c r="C36" s="40">
        <f>IF('2ndA'!M15="","",'2ndA'!M15)</f>
        <v>5</v>
      </c>
      <c r="D36" s="40" t="s">
        <v>64</v>
      </c>
      <c r="E36" s="40">
        <f>IF('2ndA'!O15="","",'2ndA'!O15)</f>
        <v>1</v>
      </c>
    </row>
    <row r="37" spans="1:5" x14ac:dyDescent="0.3">
      <c r="A37" s="39" t="str">
        <f>'2ndA'!J16</f>
        <v>Team Oelkohold</v>
      </c>
      <c r="B37" s="39" t="str">
        <f>'2ndA'!L16</f>
        <v>Ruhbi</v>
      </c>
      <c r="C37" s="40">
        <f>IF('2ndA'!M16="","",'2ndA'!M16)</f>
        <v>2</v>
      </c>
      <c r="D37" s="40" t="s">
        <v>64</v>
      </c>
      <c r="E37" s="40">
        <f>IF('2ndA'!O16="","",'2ndA'!O16)</f>
        <v>3</v>
      </c>
    </row>
    <row r="38" spans="1:5" x14ac:dyDescent="0.3">
      <c r="A38" s="39" t="str">
        <f>'2ndA'!J17</f>
        <v>Sanek</v>
      </c>
      <c r="B38" s="39" t="str">
        <f>'2ndA'!L17</f>
        <v>AndYpsilon</v>
      </c>
      <c r="C38" s="40">
        <f>IF('2ndA'!M17="","",'2ndA'!M17)</f>
        <v>1</v>
      </c>
      <c r="D38" s="40" t="s">
        <v>64</v>
      </c>
      <c r="E38" s="40">
        <f>IF('2ndA'!O17="","",'2ndA'!O17)</f>
        <v>2</v>
      </c>
    </row>
    <row r="39" spans="1:5" x14ac:dyDescent="0.3">
      <c r="A39" s="39" t="str">
        <f>'2ndA'!J18</f>
        <v>Dior</v>
      </c>
      <c r="B39" s="39" t="str">
        <f>'2ndA'!L18</f>
        <v>xflea</v>
      </c>
      <c r="C39" s="40">
        <f>IF('2ndA'!M18="","",'2ndA'!M18)</f>
        <v>1</v>
      </c>
      <c r="D39" s="40" t="s">
        <v>64</v>
      </c>
      <c r="E39" s="40">
        <f>IF('2ndA'!O18="","",'2ndA'!O18)</f>
        <v>4</v>
      </c>
    </row>
    <row r="40" spans="1:5" x14ac:dyDescent="0.3">
      <c r="A40" s="39" t="str">
        <f>'2ndA'!J19</f>
        <v>AndYpsilon</v>
      </c>
      <c r="B40" s="39" t="str">
        <f>'2ndA'!L19</f>
        <v>Team Oelkohold</v>
      </c>
      <c r="C40" s="40">
        <f>IF('2ndA'!M19="","",'2ndA'!M19)</f>
        <v>3</v>
      </c>
      <c r="D40" s="40" t="s">
        <v>64</v>
      </c>
      <c r="E40" s="40">
        <f>IF('2ndA'!O19="","",'2ndA'!O19)</f>
        <v>1</v>
      </c>
    </row>
    <row r="41" spans="1:5" x14ac:dyDescent="0.3">
      <c r="A41" s="39" t="str">
        <f>'2ndA'!J20</f>
        <v>xflea</v>
      </c>
      <c r="B41" s="39" t="str">
        <f>'2ndA'!L20</f>
        <v>Ruhbi</v>
      </c>
      <c r="C41" s="40">
        <f>IF('2ndA'!M20="","",'2ndA'!M20)</f>
        <v>2</v>
      </c>
      <c r="D41" s="40" t="s">
        <v>64</v>
      </c>
      <c r="E41" s="40">
        <f>IF('2ndA'!O20="","",'2ndA'!O20)</f>
        <v>2</v>
      </c>
    </row>
    <row r="42" spans="1:5" x14ac:dyDescent="0.3">
      <c r="A42" s="39" t="str">
        <f>'2ndA'!J21</f>
        <v>Dior</v>
      </c>
      <c r="B42" s="39" t="str">
        <f>'2ndA'!L21</f>
        <v>Sanek</v>
      </c>
      <c r="C42" s="40">
        <f>IF('2ndA'!M21="","",'2ndA'!M21)</f>
        <v>1</v>
      </c>
      <c r="D42" s="40" t="s">
        <v>64</v>
      </c>
      <c r="E42" s="40">
        <f>IF('2ndA'!O21="","",'2ndA'!O21)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O21"/>
  <sheetViews>
    <sheetView showGridLines="0" workbookViewId="0">
      <selection activeCell="N17" sqref="N17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'2ndB+'!E8</f>
        <v>Schulle</v>
      </c>
      <c r="C2" s="275"/>
      <c r="D2" s="276"/>
      <c r="E2" s="283" t="str">
        <f>IFERROR('2ndB+'!D2,"-")</f>
        <v>2nd B</v>
      </c>
      <c r="F2" s="284"/>
      <c r="G2" s="284"/>
      <c r="H2" s="284"/>
      <c r="I2" s="285"/>
      <c r="J2" s="274" t="str">
        <f>'2ndB+'!E11</f>
        <v>Klinki</v>
      </c>
      <c r="K2" s="275"/>
      <c r="L2" s="276"/>
    </row>
    <row r="3" spans="1:15" ht="19.5" customHeight="1" thickBot="1" x14ac:dyDescent="0.35">
      <c r="A3" s="6"/>
      <c r="B3" s="274" t="str">
        <f>'2ndB+'!E9</f>
        <v>Fifko</v>
      </c>
      <c r="C3" s="275"/>
      <c r="D3" s="276"/>
      <c r="E3" s="283"/>
      <c r="F3" s="284"/>
      <c r="G3" s="284"/>
      <c r="H3" s="284"/>
      <c r="I3" s="285"/>
      <c r="J3" s="274" t="str">
        <f>'2ndB+'!E12</f>
        <v>Foka</v>
      </c>
      <c r="K3" s="275"/>
      <c r="L3" s="276"/>
    </row>
    <row r="4" spans="1:15" ht="19.5" customHeight="1" thickBot="1" x14ac:dyDescent="0.35">
      <c r="A4" s="6"/>
      <c r="B4" s="274" t="str">
        <f>'2ndB+'!E10</f>
        <v>Szeszesek</v>
      </c>
      <c r="C4" s="275"/>
      <c r="D4" s="276"/>
      <c r="E4" s="6"/>
      <c r="F4" s="6"/>
      <c r="G4" s="6"/>
      <c r="H4" s="6"/>
      <c r="I4" s="6"/>
      <c r="J4" s="274" t="str">
        <f>'2ndB+'!E13</f>
        <v>Cinek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4" t="s">
        <v>18</v>
      </c>
      <c r="B6" s="44" t="s">
        <v>15</v>
      </c>
      <c r="C6" s="44"/>
      <c r="D6" s="44" t="s">
        <v>16</v>
      </c>
      <c r="E6" s="273" t="s">
        <v>17</v>
      </c>
      <c r="F6" s="273"/>
      <c r="G6" s="273"/>
      <c r="H6" s="3"/>
      <c r="I6" s="44" t="s">
        <v>18</v>
      </c>
      <c r="J6" s="44" t="s">
        <v>15</v>
      </c>
      <c r="K6" s="44"/>
      <c r="L6" s="44" t="s">
        <v>16</v>
      </c>
      <c r="M6" s="273" t="s">
        <v>17</v>
      </c>
      <c r="N6" s="273"/>
      <c r="O6" s="273"/>
    </row>
    <row r="7" spans="1:15" ht="18" customHeight="1" thickBot="1" x14ac:dyDescent="0.35">
      <c r="A7" s="4" t="s">
        <v>0</v>
      </c>
      <c r="B7" s="4" t="str">
        <f>IFERROR(VLOOKUP('2ndB+'!C16,'2ndB+'!$D$8:$E$13,2,0),"-")</f>
        <v>Cinek</v>
      </c>
      <c r="C7" s="5" t="s">
        <v>19</v>
      </c>
      <c r="D7" s="4" t="str">
        <f>IFERROR(VLOOKUP('2ndB+'!E16,'2ndB+'!$D$8:$E$13,2,0),"-")</f>
        <v>Szeszesek</v>
      </c>
      <c r="E7" s="4">
        <v>4</v>
      </c>
      <c r="F7" s="5" t="s">
        <v>19</v>
      </c>
      <c r="G7" s="4">
        <v>3</v>
      </c>
      <c r="H7" s="6"/>
      <c r="I7" s="4" t="s">
        <v>20</v>
      </c>
      <c r="J7" s="4" t="str">
        <f>IFERROR(VLOOKUP('2ndB+'!H16,'2ndB+'!$D$8:$E$13,2,0),"-")</f>
        <v>Szeszesek</v>
      </c>
      <c r="K7" s="5" t="s">
        <v>19</v>
      </c>
      <c r="L7" s="4" t="str">
        <f>IFERROR(VLOOKUP('2ndB+'!J16,'2ndB+'!$D$8:$E$13,2,0),"-")</f>
        <v>Cinek</v>
      </c>
      <c r="M7" s="4">
        <v>2</v>
      </c>
      <c r="N7" s="5" t="s">
        <v>19</v>
      </c>
      <c r="O7" s="4">
        <v>1</v>
      </c>
    </row>
    <row r="8" spans="1:15" ht="18" customHeight="1" thickBot="1" x14ac:dyDescent="0.35">
      <c r="A8" s="4" t="s">
        <v>1</v>
      </c>
      <c r="B8" s="4" t="str">
        <f>IFERROR(VLOOKUP('2ndB+'!C17,'2ndB+'!$D$8:$E$13,2,0),"-")</f>
        <v>Fifko</v>
      </c>
      <c r="C8" s="5" t="s">
        <v>19</v>
      </c>
      <c r="D8" s="4" t="str">
        <f>IFERROR(VLOOKUP('2ndB+'!E17,'2ndB+'!$D$8:$E$13,2,0),"-")</f>
        <v>Foka</v>
      </c>
      <c r="E8" s="4">
        <v>2</v>
      </c>
      <c r="F8" s="5" t="s">
        <v>19</v>
      </c>
      <c r="G8" s="4">
        <v>5</v>
      </c>
      <c r="H8" s="6"/>
      <c r="I8" s="4" t="s">
        <v>21</v>
      </c>
      <c r="J8" s="4" t="str">
        <f>IFERROR(VLOOKUP('2ndB+'!H17,'2ndB+'!$D$8:$E$13,2,0),"-")</f>
        <v>Foka</v>
      </c>
      <c r="K8" s="5" t="s">
        <v>19</v>
      </c>
      <c r="L8" s="4" t="str">
        <f>IFERROR(VLOOKUP('2ndB+'!J17,'2ndB+'!$D$8:$E$13,2,0),"-")</f>
        <v>Fifko</v>
      </c>
      <c r="M8" s="4">
        <v>3</v>
      </c>
      <c r="N8" s="5" t="s">
        <v>19</v>
      </c>
      <c r="O8" s="4">
        <v>0</v>
      </c>
    </row>
    <row r="9" spans="1:15" ht="18" customHeight="1" thickBot="1" x14ac:dyDescent="0.35">
      <c r="A9" s="4" t="s">
        <v>2</v>
      </c>
      <c r="B9" s="4" t="str">
        <f>IFERROR(VLOOKUP('2ndB+'!C18,'2ndB+'!$D$8:$E$13,2,0),"-")</f>
        <v>Klinki</v>
      </c>
      <c r="C9" s="5" t="s">
        <v>19</v>
      </c>
      <c r="D9" s="4" t="str">
        <f>IFERROR(VLOOKUP('2ndB+'!E18,'2ndB+'!$D$8:$E$13,2,0),"-")</f>
        <v>Schulle</v>
      </c>
      <c r="E9" s="4">
        <v>2</v>
      </c>
      <c r="F9" s="5" t="s">
        <v>19</v>
      </c>
      <c r="G9" s="4">
        <v>0</v>
      </c>
      <c r="H9" s="6"/>
      <c r="I9" s="4" t="s">
        <v>22</v>
      </c>
      <c r="J9" s="4" t="str">
        <f>IFERROR(VLOOKUP('2ndB+'!H18,'2ndB+'!$D$8:$E$13,2,0),"-")</f>
        <v>Schulle</v>
      </c>
      <c r="K9" s="5" t="s">
        <v>19</v>
      </c>
      <c r="L9" s="4" t="str">
        <f>IFERROR(VLOOKUP('2ndB+'!J18,'2ndB+'!$D$8:$E$13,2,0),"-")</f>
        <v>Klinki</v>
      </c>
      <c r="M9" s="4">
        <v>1</v>
      </c>
      <c r="N9" s="5" t="s">
        <v>19</v>
      </c>
      <c r="O9" s="4">
        <v>2</v>
      </c>
    </row>
    <row r="10" spans="1:15" ht="18" customHeight="1" thickBot="1" x14ac:dyDescent="0.35">
      <c r="A10" s="4" t="s">
        <v>3</v>
      </c>
      <c r="B10" s="4" t="str">
        <f>IFERROR(VLOOKUP('2ndB+'!C19,'2ndB+'!$D$8:$E$13,2,0),"-")</f>
        <v>Foka</v>
      </c>
      <c r="C10" s="5" t="s">
        <v>19</v>
      </c>
      <c r="D10" s="4" t="str">
        <f>IFERROR(VLOOKUP('2ndB+'!E19,'2ndB+'!$D$8:$E$13,2,0),"-")</f>
        <v>Cinek</v>
      </c>
      <c r="E10" s="4">
        <v>3</v>
      </c>
      <c r="F10" s="5" t="s">
        <v>19</v>
      </c>
      <c r="G10" s="4">
        <v>1</v>
      </c>
      <c r="H10" s="6"/>
      <c r="I10" s="4" t="s">
        <v>23</v>
      </c>
      <c r="J10" s="4" t="str">
        <f>IFERROR(VLOOKUP('2ndB+'!H19,'2ndB+'!$D$8:$E$13,2,0),"-")</f>
        <v>Cinek</v>
      </c>
      <c r="K10" s="5" t="s">
        <v>19</v>
      </c>
      <c r="L10" s="4" t="str">
        <f>IFERROR(VLOOKUP('2ndB+'!J19,'2ndB+'!$D$8:$E$13,2,0),"-")</f>
        <v>Foka</v>
      </c>
      <c r="M10" s="4">
        <v>2</v>
      </c>
      <c r="N10" s="5" t="s">
        <v>19</v>
      </c>
      <c r="O10" s="4">
        <v>1</v>
      </c>
    </row>
    <row r="11" spans="1:15" ht="18" customHeight="1" thickBot="1" x14ac:dyDescent="0.35">
      <c r="A11" s="4" t="s">
        <v>4</v>
      </c>
      <c r="B11" s="4" t="str">
        <f>IFERROR(VLOOKUP('2ndB+'!C20,'2ndB+'!$D$8:$E$13,2,0),"-")</f>
        <v>Schulle</v>
      </c>
      <c r="C11" s="5" t="s">
        <v>19</v>
      </c>
      <c r="D11" s="4" t="str">
        <f>IFERROR(VLOOKUP('2ndB+'!E20,'2ndB+'!$D$8:$E$13,2,0),"-")</f>
        <v>Szeszesek</v>
      </c>
      <c r="E11" s="4">
        <v>1</v>
      </c>
      <c r="F11" s="5" t="s">
        <v>19</v>
      </c>
      <c r="G11" s="4">
        <v>0</v>
      </c>
      <c r="H11" s="6"/>
      <c r="I11" s="4" t="s">
        <v>24</v>
      </c>
      <c r="J11" s="4" t="str">
        <f>IFERROR(VLOOKUP('2ndB+'!H20,'2ndB+'!$D$8:$E$13,2,0),"-")</f>
        <v>Szeszesek</v>
      </c>
      <c r="K11" s="5" t="s">
        <v>19</v>
      </c>
      <c r="L11" s="4" t="str">
        <f>IFERROR(VLOOKUP('2ndB+'!J20,'2ndB+'!$D$8:$E$13,2,0),"-")</f>
        <v>Schulle</v>
      </c>
      <c r="M11" s="4">
        <v>0</v>
      </c>
      <c r="N11" s="5" t="s">
        <v>19</v>
      </c>
      <c r="O11" s="4">
        <v>0</v>
      </c>
    </row>
    <row r="12" spans="1:15" ht="18" customHeight="1" thickBot="1" x14ac:dyDescent="0.35">
      <c r="A12" s="4" t="s">
        <v>5</v>
      </c>
      <c r="B12" s="4" t="str">
        <f>IFERROR(VLOOKUP('2ndB+'!C21,'2ndB+'!$D$8:$E$13,2,0),"-")</f>
        <v>Klinki</v>
      </c>
      <c r="C12" s="5" t="s">
        <v>19</v>
      </c>
      <c r="D12" s="4" t="str">
        <f>IFERROR(VLOOKUP('2ndB+'!E21,'2ndB+'!$D$8:$E$13,2,0),"-")</f>
        <v>Fifko</v>
      </c>
      <c r="E12" s="4">
        <v>4</v>
      </c>
      <c r="F12" s="5" t="s">
        <v>19</v>
      </c>
      <c r="G12" s="4">
        <v>2</v>
      </c>
      <c r="H12" s="6"/>
      <c r="I12" s="4" t="s">
        <v>25</v>
      </c>
      <c r="J12" s="4" t="str">
        <f>IFERROR(VLOOKUP('2ndB+'!H21,'2ndB+'!$D$8:$E$13,2,0),"-")</f>
        <v>Fifko</v>
      </c>
      <c r="K12" s="5" t="s">
        <v>19</v>
      </c>
      <c r="L12" s="4" t="str">
        <f>IFERROR(VLOOKUP('2ndB+'!J21,'2ndB+'!$D$8:$E$13,2,0),"-")</f>
        <v>Klinki</v>
      </c>
      <c r="M12" s="4">
        <v>0</v>
      </c>
      <c r="N12" s="5" t="s">
        <v>19</v>
      </c>
      <c r="O12" s="4">
        <v>2</v>
      </c>
    </row>
    <row r="13" spans="1:15" ht="18" customHeight="1" thickBot="1" x14ac:dyDescent="0.35">
      <c r="A13" s="4" t="s">
        <v>6</v>
      </c>
      <c r="B13" s="4" t="str">
        <f>IFERROR(VLOOKUP('2ndB+'!C22,'2ndB+'!$D$8:$E$13,2,0),"-")</f>
        <v>Cinek</v>
      </c>
      <c r="C13" s="5" t="s">
        <v>19</v>
      </c>
      <c r="D13" s="4" t="str">
        <f>IFERROR(VLOOKUP('2ndB+'!E22,'2ndB+'!$D$8:$E$13,2,0),"-")</f>
        <v>Schulle</v>
      </c>
      <c r="E13" s="4">
        <v>1</v>
      </c>
      <c r="F13" s="5" t="s">
        <v>19</v>
      </c>
      <c r="G13" s="4">
        <v>2</v>
      </c>
      <c r="H13" s="6"/>
      <c r="I13" s="4" t="s">
        <v>26</v>
      </c>
      <c r="J13" s="4" t="str">
        <f>IFERROR(VLOOKUP('2ndB+'!H22,'2ndB+'!$D$8:$E$13,2,0),"-")</f>
        <v>Schulle</v>
      </c>
      <c r="K13" s="5" t="s">
        <v>19</v>
      </c>
      <c r="L13" s="4" t="str">
        <f>IFERROR(VLOOKUP('2ndB+'!J22,'2ndB+'!$D$8:$E$13,2,0),"-")</f>
        <v>Cinek</v>
      </c>
      <c r="M13" s="4">
        <v>1</v>
      </c>
      <c r="N13" s="5" t="s">
        <v>19</v>
      </c>
      <c r="O13" s="4">
        <v>1</v>
      </c>
    </row>
    <row r="14" spans="1:15" ht="18" customHeight="1" thickBot="1" x14ac:dyDescent="0.35">
      <c r="A14" s="4" t="s">
        <v>7</v>
      </c>
      <c r="B14" s="4" t="str">
        <f>IFERROR(VLOOKUP('2ndB+'!C23,'2ndB+'!$D$8:$E$13,2,0),"-")</f>
        <v>Foka</v>
      </c>
      <c r="C14" s="5" t="s">
        <v>19</v>
      </c>
      <c r="D14" s="4" t="str">
        <f>IFERROR(VLOOKUP('2ndB+'!E23,'2ndB+'!$D$8:$E$13,2,0),"-")</f>
        <v>Klinki</v>
      </c>
      <c r="E14" s="4">
        <v>6</v>
      </c>
      <c r="F14" s="5" t="s">
        <v>19</v>
      </c>
      <c r="G14" s="4">
        <v>0</v>
      </c>
      <c r="H14" s="6"/>
      <c r="I14" s="4" t="s">
        <v>27</v>
      </c>
      <c r="J14" s="4" t="str">
        <f>IFERROR(VLOOKUP('2ndB+'!H23,'2ndB+'!$D$8:$E$13,2,0),"-")</f>
        <v>Klinki</v>
      </c>
      <c r="K14" s="5" t="s">
        <v>19</v>
      </c>
      <c r="L14" s="4" t="str">
        <f>IFERROR(VLOOKUP('2ndB+'!J23,'2ndB+'!$D$8:$E$13,2,0),"-")</f>
        <v>Foka</v>
      </c>
      <c r="M14" s="4">
        <v>2</v>
      </c>
      <c r="N14" s="5" t="s">
        <v>19</v>
      </c>
      <c r="O14" s="4">
        <v>6</v>
      </c>
    </row>
    <row r="15" spans="1:15" ht="18" customHeight="1" thickBot="1" x14ac:dyDescent="0.35">
      <c r="A15" s="4" t="s">
        <v>8</v>
      </c>
      <c r="B15" s="4" t="str">
        <f>IFERROR(VLOOKUP('2ndB+'!C24,'2ndB+'!$D$8:$E$13,2,0),"-")</f>
        <v>Szeszesek</v>
      </c>
      <c r="C15" s="5" t="s">
        <v>19</v>
      </c>
      <c r="D15" s="4" t="str">
        <f>IFERROR(VLOOKUP('2ndB+'!E24,'2ndB+'!$D$8:$E$13,2,0),"-")</f>
        <v>Fifko</v>
      </c>
      <c r="E15" s="4">
        <v>0</v>
      </c>
      <c r="F15" s="5" t="s">
        <v>19</v>
      </c>
      <c r="G15" s="4">
        <v>3</v>
      </c>
      <c r="H15" s="6"/>
      <c r="I15" s="4" t="s">
        <v>28</v>
      </c>
      <c r="J15" s="4" t="str">
        <f>IFERROR(VLOOKUP('2ndB+'!H24,'2ndB+'!$D$8:$E$13,2,0),"-")</f>
        <v>Fifko</v>
      </c>
      <c r="K15" s="5" t="s">
        <v>19</v>
      </c>
      <c r="L15" s="4" t="str">
        <f>IFERROR(VLOOKUP('2ndB+'!J24,'2ndB+'!$D$8:$E$13,2,0),"-")</f>
        <v>Szeszesek</v>
      </c>
      <c r="M15" s="4">
        <v>4</v>
      </c>
      <c r="N15" s="5" t="s">
        <v>19</v>
      </c>
      <c r="O15" s="4">
        <v>1</v>
      </c>
    </row>
    <row r="16" spans="1:15" ht="18" customHeight="1" thickBot="1" x14ac:dyDescent="0.35">
      <c r="A16" s="4" t="s">
        <v>9</v>
      </c>
      <c r="B16" s="4" t="str">
        <f>IFERROR(VLOOKUP('2ndB+'!C25,'2ndB+'!$D$8:$E$13,2,0),"-")</f>
        <v>Klinki</v>
      </c>
      <c r="C16" s="5" t="s">
        <v>19</v>
      </c>
      <c r="D16" s="4" t="str">
        <f>IFERROR(VLOOKUP('2ndB+'!E25,'2ndB+'!$D$8:$E$13,2,0),"-")</f>
        <v>Cinek</v>
      </c>
      <c r="E16" s="4">
        <v>2</v>
      </c>
      <c r="F16" s="5" t="s">
        <v>19</v>
      </c>
      <c r="G16" s="4">
        <v>4</v>
      </c>
      <c r="H16" s="6"/>
      <c r="I16" s="4" t="s">
        <v>29</v>
      </c>
      <c r="J16" s="4" t="str">
        <f>IFERROR(VLOOKUP('2ndB+'!H25,'2ndB+'!$D$8:$E$13,2,0),"-")</f>
        <v>Cinek</v>
      </c>
      <c r="K16" s="5" t="s">
        <v>19</v>
      </c>
      <c r="L16" s="4" t="str">
        <f>IFERROR(VLOOKUP('2ndB+'!J25,'2ndB+'!$D$8:$E$13,2,0),"-")</f>
        <v>Klinki</v>
      </c>
      <c r="M16" s="4">
        <v>3</v>
      </c>
      <c r="N16" s="5" t="s">
        <v>19</v>
      </c>
      <c r="O16" s="4">
        <v>0</v>
      </c>
    </row>
    <row r="17" spans="1:15" ht="18" customHeight="1" thickBot="1" x14ac:dyDescent="0.35">
      <c r="A17" s="4" t="s">
        <v>10</v>
      </c>
      <c r="B17" s="4" t="str">
        <f>IFERROR(VLOOKUP('2ndB+'!C26,'2ndB+'!$D$8:$E$13,2,0),"-")</f>
        <v>Fifko</v>
      </c>
      <c r="C17" s="5" t="s">
        <v>19</v>
      </c>
      <c r="D17" s="4" t="str">
        <f>IFERROR(VLOOKUP('2ndB+'!E26,'2ndB+'!$D$8:$E$13,2,0),"-")</f>
        <v>Schulle</v>
      </c>
      <c r="E17" s="4">
        <v>2</v>
      </c>
      <c r="F17" s="5" t="s">
        <v>19</v>
      </c>
      <c r="G17" s="4">
        <v>0</v>
      </c>
      <c r="H17" s="6"/>
      <c r="I17" s="4" t="s">
        <v>30</v>
      </c>
      <c r="J17" s="4" t="str">
        <f>IFERROR(VLOOKUP('2ndB+'!H26,'2ndB+'!$D$8:$E$13,2,0),"-")</f>
        <v>Schulle</v>
      </c>
      <c r="K17" s="5" t="s">
        <v>19</v>
      </c>
      <c r="L17" s="4" t="str">
        <f>IFERROR(VLOOKUP('2ndB+'!J26,'2ndB+'!$D$8:$E$13,2,0),"-")</f>
        <v>Fifko</v>
      </c>
      <c r="M17" s="4">
        <v>6</v>
      </c>
      <c r="N17" s="5" t="s">
        <v>19</v>
      </c>
      <c r="O17" s="4">
        <v>1</v>
      </c>
    </row>
    <row r="18" spans="1:15" ht="18" customHeight="1" thickBot="1" x14ac:dyDescent="0.35">
      <c r="A18" s="4" t="s">
        <v>11</v>
      </c>
      <c r="B18" s="4" t="str">
        <f>IFERROR(VLOOKUP('2ndB+'!C27,'2ndB+'!$D$8:$E$13,2,0),"-")</f>
        <v>Szeszesek</v>
      </c>
      <c r="C18" s="5" t="s">
        <v>19</v>
      </c>
      <c r="D18" s="4" t="str">
        <f>IFERROR(VLOOKUP('2ndB+'!E27,'2ndB+'!$D$8:$E$13,2,0),"-")</f>
        <v>Foka</v>
      </c>
      <c r="E18" s="4">
        <v>3</v>
      </c>
      <c r="F18" s="5" t="s">
        <v>19</v>
      </c>
      <c r="G18" s="4">
        <v>1</v>
      </c>
      <c r="H18" s="6"/>
      <c r="I18" s="4" t="s">
        <v>31</v>
      </c>
      <c r="J18" s="4" t="str">
        <f>IFERROR(VLOOKUP('2ndB+'!H27,'2ndB+'!$D$8:$E$13,2,0),"-")</f>
        <v>Foka</v>
      </c>
      <c r="K18" s="5" t="s">
        <v>19</v>
      </c>
      <c r="L18" s="4" t="str">
        <f>IFERROR(VLOOKUP('2ndB+'!J27,'2ndB+'!$D$8:$E$13,2,0),"-")</f>
        <v>Szeszesek</v>
      </c>
      <c r="M18" s="4">
        <v>5</v>
      </c>
      <c r="N18" s="5" t="s">
        <v>19</v>
      </c>
      <c r="O18" s="4">
        <v>0</v>
      </c>
    </row>
    <row r="19" spans="1:15" ht="18" customHeight="1" thickBot="1" x14ac:dyDescent="0.35">
      <c r="A19" s="4" t="s">
        <v>12</v>
      </c>
      <c r="B19" s="4" t="str">
        <f>IFERROR(VLOOKUP('2ndB+'!C28,'2ndB+'!$D$8:$E$13,2,0),"-")</f>
        <v>Cinek</v>
      </c>
      <c r="C19" s="5" t="s">
        <v>19</v>
      </c>
      <c r="D19" s="4" t="str">
        <f>IFERROR(VLOOKUP('2ndB+'!E28,'2ndB+'!$D$8:$E$13,2,0),"-")</f>
        <v>Fifko</v>
      </c>
      <c r="E19" s="4">
        <v>3</v>
      </c>
      <c r="F19" s="5" t="s">
        <v>19</v>
      </c>
      <c r="G19" s="4">
        <v>0</v>
      </c>
      <c r="H19" s="6"/>
      <c r="I19" s="4" t="s">
        <v>32</v>
      </c>
      <c r="J19" s="4" t="str">
        <f>IFERROR(VLOOKUP('2ndB+'!H28,'2ndB+'!$D$8:$E$13,2,0),"-")</f>
        <v>Fifko</v>
      </c>
      <c r="K19" s="5" t="s">
        <v>19</v>
      </c>
      <c r="L19" s="4" t="str">
        <f>IFERROR(VLOOKUP('2ndB+'!J28,'2ndB+'!$D$8:$E$13,2,0),"-")</f>
        <v>Cinek</v>
      </c>
      <c r="M19" s="4">
        <v>1</v>
      </c>
      <c r="N19" s="5" t="s">
        <v>19</v>
      </c>
      <c r="O19" s="4">
        <v>2</v>
      </c>
    </row>
    <row r="20" spans="1:15" ht="18" customHeight="1" thickBot="1" x14ac:dyDescent="0.35">
      <c r="A20" s="4" t="s">
        <v>13</v>
      </c>
      <c r="B20" s="4" t="str">
        <f>IFERROR(VLOOKUP('2ndB+'!C29,'2ndB+'!$D$8:$E$13,2,0),"-")</f>
        <v>Klinki</v>
      </c>
      <c r="C20" s="5" t="s">
        <v>19</v>
      </c>
      <c r="D20" s="4" t="str">
        <f>IFERROR(VLOOKUP('2ndB+'!E29,'2ndB+'!$D$8:$E$13,2,0),"-")</f>
        <v>Szeszesek</v>
      </c>
      <c r="E20" s="4">
        <v>0</v>
      </c>
      <c r="F20" s="5" t="s">
        <v>19</v>
      </c>
      <c r="G20" s="4">
        <v>0</v>
      </c>
      <c r="H20" s="6"/>
      <c r="I20" s="4" t="s">
        <v>33</v>
      </c>
      <c r="J20" s="4" t="str">
        <f>IFERROR(VLOOKUP('2ndB+'!H29,'2ndB+'!$D$8:$E$13,2,0),"-")</f>
        <v>Szeszesek</v>
      </c>
      <c r="K20" s="5" t="s">
        <v>19</v>
      </c>
      <c r="L20" s="4" t="str">
        <f>IFERROR(VLOOKUP('2ndB+'!J29,'2ndB+'!$D$8:$E$13,2,0),"-")</f>
        <v>Klinki</v>
      </c>
      <c r="M20" s="4">
        <v>2</v>
      </c>
      <c r="N20" s="5" t="s">
        <v>19</v>
      </c>
      <c r="O20" s="4">
        <v>0</v>
      </c>
    </row>
    <row r="21" spans="1:15" ht="18" customHeight="1" thickBot="1" x14ac:dyDescent="0.35">
      <c r="A21" s="4" t="s">
        <v>14</v>
      </c>
      <c r="B21" s="4" t="str">
        <f>IFERROR(VLOOKUP('2ndB+'!C30,'2ndB+'!$D$8:$E$13,2,0),"-")</f>
        <v>Schulle</v>
      </c>
      <c r="C21" s="5" t="s">
        <v>19</v>
      </c>
      <c r="D21" s="4" t="str">
        <f>IFERROR(VLOOKUP('2ndB+'!E30,'2ndB+'!$D$8:$E$13,2,0),"-")</f>
        <v>Foka</v>
      </c>
      <c r="E21" s="4">
        <v>2</v>
      </c>
      <c r="F21" s="5" t="s">
        <v>19</v>
      </c>
      <c r="G21" s="4">
        <v>2</v>
      </c>
      <c r="H21" s="6"/>
      <c r="I21" s="4" t="s">
        <v>34</v>
      </c>
      <c r="J21" s="4" t="str">
        <f>IFERROR(VLOOKUP('2ndB+'!H30,'2ndB+'!$D$8:$E$13,2,0),"-")</f>
        <v>Foka</v>
      </c>
      <c r="K21" s="5" t="s">
        <v>19</v>
      </c>
      <c r="L21" s="4" t="str">
        <f>IFERROR(VLOOKUP('2ndB+'!J30,'2ndB+'!$D$8:$E$13,2,0),"-")</f>
        <v>Schulle</v>
      </c>
      <c r="M21" s="4">
        <v>7</v>
      </c>
      <c r="N21" s="5" t="s">
        <v>19</v>
      </c>
      <c r="O21" s="4">
        <v>2</v>
      </c>
    </row>
  </sheetData>
  <mergeCells count="11">
    <mergeCell ref="E6:G6"/>
    <mergeCell ref="M6:O6"/>
    <mergeCell ref="B2:D2"/>
    <mergeCell ref="B3:D3"/>
    <mergeCell ref="B4:D4"/>
    <mergeCell ref="B1:D1"/>
    <mergeCell ref="J2:L2"/>
    <mergeCell ref="J3:L3"/>
    <mergeCell ref="J4:L4"/>
    <mergeCell ref="J1:L1"/>
    <mergeCell ref="E2:I3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J30"/>
  <sheetViews>
    <sheetView showGridLines="0" workbookViewId="0">
      <selection activeCell="N17" sqref="N17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67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6" t="s">
        <v>35</v>
      </c>
      <c r="F7" s="296"/>
      <c r="G7" s="296" t="s">
        <v>36</v>
      </c>
      <c r="H7" s="297"/>
      <c r="I7" s="10"/>
    </row>
    <row r="8" spans="2:10" x14ac:dyDescent="0.3">
      <c r="C8" s="8"/>
      <c r="D8" s="15">
        <v>1</v>
      </c>
      <c r="E8" s="267" t="str">
        <f>IF('Gr. A res'!T12&lt;84,"-",Table!C14)</f>
        <v>Schulle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tr">
        <f>IF('Gr. B res'!T10&lt;60,"-",Table!N14)</f>
        <v>Fifko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tr">
        <f>IF('Gr. C res'!T10&lt;60,"-",Table!C25)</f>
        <v>Szeszesek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tr">
        <f>IF('Gr. D res'!T10&lt;60,"-",Table!N24)</f>
        <v>Klinki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tr">
        <f>IF('Gr. E res'!T10&lt;60,"-",Table!C34)</f>
        <v>Foka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tr">
        <f>IF('Gr. F res'!T10&lt;60,"-",Table!N34)</f>
        <v>Cinek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44" t="s">
        <v>18</v>
      </c>
      <c r="C15" s="44" t="s">
        <v>15</v>
      </c>
      <c r="D15" s="44"/>
      <c r="E15" s="44" t="s">
        <v>16</v>
      </c>
      <c r="F15" s="3"/>
      <c r="G15" s="44" t="s">
        <v>18</v>
      </c>
      <c r="H15" s="44" t="s">
        <v>15</v>
      </c>
      <c r="I15" s="44"/>
      <c r="J15" s="44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20" customWidth="1"/>
    <col min="2" max="2" width="16.109375" style="20" customWidth="1"/>
    <col min="3" max="5" width="3.88671875" style="20" customWidth="1"/>
    <col min="6" max="6" width="8.33203125" style="20" customWidth="1"/>
    <col min="7" max="7" width="8.33203125" style="21" customWidth="1"/>
    <col min="8" max="8" width="15.6640625" style="21" customWidth="1"/>
    <col min="9" max="9" width="5" style="21" customWidth="1"/>
    <col min="10" max="16" width="5" style="20" customWidth="1"/>
    <col min="17" max="17" width="11.44140625" style="20" customWidth="1"/>
    <col min="18" max="18" width="8.88671875" style="20" customWidth="1"/>
    <col min="19" max="26" width="9.109375" style="20" customWidth="1"/>
    <col min="27" max="27" width="3.88671875" style="20" bestFit="1" customWidth="1"/>
    <col min="28" max="28" width="9.109375" style="20" customWidth="1"/>
    <col min="29" max="16384" width="8.88671875" style="20"/>
  </cols>
  <sheetData>
    <row r="1" spans="1:28" ht="28.8" x14ac:dyDescent="0.55000000000000004">
      <c r="A1" s="18" t="str">
        <f>'2ndB+'!D2</f>
        <v>2nd B</v>
      </c>
      <c r="B1" s="19"/>
    </row>
    <row r="2" spans="1:28" x14ac:dyDescent="0.3">
      <c r="A2" s="22"/>
      <c r="B2" s="19"/>
      <c r="T2" s="23" t="s">
        <v>51</v>
      </c>
      <c r="U2" s="24" t="s">
        <v>52</v>
      </c>
      <c r="V2" s="24" t="s">
        <v>53</v>
      </c>
      <c r="W2" s="24" t="s">
        <v>54</v>
      </c>
      <c r="X2" s="25" t="s">
        <v>55</v>
      </c>
      <c r="Y2" s="26" t="s">
        <v>56</v>
      </c>
      <c r="Z2" s="24" t="s">
        <v>57</v>
      </c>
      <c r="AA2" s="25" t="s">
        <v>58</v>
      </c>
      <c r="AB2" s="27" t="s">
        <v>59</v>
      </c>
    </row>
    <row r="3" spans="1:28" x14ac:dyDescent="0.3">
      <c r="A3" s="28" t="s">
        <v>60</v>
      </c>
      <c r="B3" s="29" t="s">
        <v>61</v>
      </c>
      <c r="S3" s="30" t="str">
        <f t="shared" ref="S3:S8" si="0">A4</f>
        <v>Schulle</v>
      </c>
      <c r="T3" s="31">
        <f t="array" ref="T3">SUM(($A$13:$A$43=S3)*(ISNUMBER($C$13:$C$43)),($B$13:$B$43=S3)*(ISNUMBER($E$13:$E$43)))</f>
        <v>10</v>
      </c>
      <c r="U3" s="21">
        <f t="array" ref="U3">SUM((home=S3)*(homescore&gt;visitorscore),(visitor=S3)*(visitorscore&gt;homescore))</f>
        <v>3</v>
      </c>
      <c r="V3" s="21">
        <f t="array" ref="V3">SUM((home=S3)*(homescore=visitorscore)*ISNUMBER(visitorscore),(visitor=S3)*(visitorscore=homescore)*ISNUMBER(homescore))</f>
        <v>3</v>
      </c>
      <c r="W3" s="21">
        <f t="array" ref="W3">SUM((home=S3)*(homescore&lt;visitorscore),(visitor=S3)*(visitorscore&lt;homescore))</f>
        <v>4</v>
      </c>
      <c r="X3" s="32">
        <f t="shared" ref="X3" si="1">SUMIF(home,S3,homescore)+SUMIF(visitor,S3,visitorscore)</f>
        <v>15</v>
      </c>
      <c r="Y3" s="33">
        <f t="shared" ref="Y3" si="2">SUMIF(home,S3,visitorscore)+SUMIF(visitor,S3,homescore)</f>
        <v>18</v>
      </c>
      <c r="Z3" s="34">
        <f>X3-Y3</f>
        <v>-3</v>
      </c>
      <c r="AA3" s="32">
        <f>U3*3+V3</f>
        <v>12</v>
      </c>
      <c r="AB3" s="20">
        <f>X3+Z3*10000+AA3*1000000000</f>
        <v>11999970015</v>
      </c>
    </row>
    <row r="4" spans="1:28" x14ac:dyDescent="0.3">
      <c r="A4" s="35" t="str">
        <f>'2ndB+'!E8</f>
        <v>Schulle</v>
      </c>
      <c r="B4" s="19"/>
      <c r="C4" s="19"/>
      <c r="S4" s="36" t="str">
        <f t="shared" si="0"/>
        <v>Fifko</v>
      </c>
      <c r="T4" s="31">
        <f t="array" ref="T4">SUM(($A$13:$A$43=S4)*(ISNUMBER($C$13:$C$43)),($B$13:$B$43=S4)*(ISNUMBER($E$13:$E$43)))</f>
        <v>10</v>
      </c>
      <c r="U4" s="21">
        <f t="array" ref="U4">SUM((home=S4)*(homescore&gt;visitorscore),(visitor=S4)*(visitorscore&gt;homescore))</f>
        <v>3</v>
      </c>
      <c r="V4" s="21">
        <f t="array" ref="V4">SUM((home=S4)*(homescore=visitorscore)*ISNUMBER(visitorscore),(visitor=S4)*(visitorscore=homescore)*ISNUMBER(homescore))</f>
        <v>0</v>
      </c>
      <c r="W4" s="21">
        <f t="array" ref="W4">SUM((home=S4)*(homescore&lt;visitorscore),(visitor=S4)*(visitorscore&lt;homescore))</f>
        <v>7</v>
      </c>
      <c r="X4" s="32">
        <f t="shared" ref="X4" si="3">SUMIF(home,S4,homescore)+SUMIF(visitor,S4,visitorscore)</f>
        <v>15</v>
      </c>
      <c r="Y4" s="33">
        <f t="shared" ref="Y4" si="4">SUMIF(home,S4,visitorscore)+SUMIF(visitor,S4,homescore)</f>
        <v>26</v>
      </c>
      <c r="Z4" s="34">
        <f t="shared" ref="Z4:Z8" si="5">X4-Y4</f>
        <v>-11</v>
      </c>
      <c r="AA4" s="32">
        <f t="shared" ref="AA4:AA8" si="6">U4*3+V4</f>
        <v>9</v>
      </c>
      <c r="AB4" s="20">
        <f t="shared" ref="AB4:AB8" si="7">X4+Z4*10000+AA4*1000000000</f>
        <v>8999890015</v>
      </c>
    </row>
    <row r="5" spans="1:28" x14ac:dyDescent="0.3">
      <c r="A5" s="35" t="str">
        <f>'2ndB+'!E9</f>
        <v>Fifko</v>
      </c>
      <c r="B5" s="19"/>
      <c r="C5" s="19"/>
      <c r="S5" s="36" t="str">
        <f t="shared" si="0"/>
        <v>Szeszesek</v>
      </c>
      <c r="T5" s="31">
        <f t="array" ref="T5">SUM(($A$13:$A$43=S5)*(ISNUMBER($C$13:$C$43)),($B$13:$B$43=S5)*(ISNUMBER($E$13:$E$43)))</f>
        <v>10</v>
      </c>
      <c r="U5" s="21">
        <f t="array" ref="U5">SUM((home=S5)*(homescore&gt;visitorscore),(visitor=S5)*(visitorscore&gt;homescore))</f>
        <v>3</v>
      </c>
      <c r="V5" s="21">
        <f t="array" ref="V5">SUM((home=S5)*(homescore=visitorscore)*ISNUMBER(visitorscore),(visitor=S5)*(visitorscore=homescore)*ISNUMBER(homescore))</f>
        <v>2</v>
      </c>
      <c r="W5" s="21">
        <f t="array" ref="W5">SUM((home=S5)*(homescore&lt;visitorscore),(visitor=S5)*(visitorscore&lt;homescore))</f>
        <v>5</v>
      </c>
      <c r="X5" s="32">
        <f t="shared" ref="X5" si="8">SUMIF(home,S5,homescore)+SUMIF(visitor,S5,visitorscore)</f>
        <v>11</v>
      </c>
      <c r="Y5" s="33">
        <f t="shared" ref="Y5" si="9">SUMIF(home,S5,visitorscore)+SUMIF(visitor,S5,homescore)</f>
        <v>19</v>
      </c>
      <c r="Z5" s="34">
        <f t="shared" si="5"/>
        <v>-8</v>
      </c>
      <c r="AA5" s="32">
        <f t="shared" si="6"/>
        <v>11</v>
      </c>
      <c r="AB5" s="20">
        <f t="shared" si="7"/>
        <v>10999920011</v>
      </c>
    </row>
    <row r="6" spans="1:28" x14ac:dyDescent="0.3">
      <c r="A6" s="35" t="str">
        <f>'2ndB+'!E10</f>
        <v>Szeszesek</v>
      </c>
      <c r="B6" s="19"/>
      <c r="C6" s="19"/>
      <c r="S6" s="36" t="str">
        <f t="shared" si="0"/>
        <v>Klinki</v>
      </c>
      <c r="T6" s="31">
        <f t="array" ref="T6">SUM(($A$13:$A$43=S6)*(ISNUMBER($C$13:$C$43)),($B$13:$B$43=S6)*(ISNUMBER($E$13:$E$43)))</f>
        <v>10</v>
      </c>
      <c r="U6" s="21">
        <f t="array" ref="U6">SUM((home=S6)*(homescore&gt;visitorscore),(visitor=S6)*(visitorscore&gt;homescore))</f>
        <v>4</v>
      </c>
      <c r="V6" s="21">
        <f t="array" ref="V6">SUM((home=S6)*(homescore=visitorscore)*ISNUMBER(visitorscore),(visitor=S6)*(visitorscore=homescore)*ISNUMBER(homescore))</f>
        <v>1</v>
      </c>
      <c r="W6" s="21">
        <f t="array" ref="W6">SUM((home=S6)*(homescore&lt;visitorscore),(visitor=S6)*(visitorscore&lt;homescore))</f>
        <v>5</v>
      </c>
      <c r="X6" s="32">
        <f t="shared" ref="X6" si="10">SUMIF(home,S6,homescore)+SUMIF(visitor,S6,visitorscore)</f>
        <v>14</v>
      </c>
      <c r="Y6" s="33">
        <f t="shared" ref="Y6" si="11">SUMIF(home,S6,visitorscore)+SUMIF(visitor,S6,homescore)</f>
        <v>24</v>
      </c>
      <c r="Z6" s="34">
        <f t="shared" si="5"/>
        <v>-10</v>
      </c>
      <c r="AA6" s="32">
        <f t="shared" si="6"/>
        <v>13</v>
      </c>
      <c r="AB6" s="20">
        <f t="shared" si="7"/>
        <v>12999900014</v>
      </c>
    </row>
    <row r="7" spans="1:28" x14ac:dyDescent="0.3">
      <c r="A7" s="35" t="str">
        <f>'2ndB+'!E11</f>
        <v>Klinki</v>
      </c>
      <c r="B7" s="19"/>
      <c r="C7" s="19"/>
      <c r="S7" s="37" t="str">
        <f t="shared" si="0"/>
        <v>Foka</v>
      </c>
      <c r="T7" s="31">
        <f t="array" ref="T7">SUM(($A$13:$A$43=S7)*(ISNUMBER($C$13:$C$43)),($B$13:$B$43=S7)*(ISNUMBER($E$13:$E$43)))</f>
        <v>10</v>
      </c>
      <c r="U7" s="21">
        <f t="array" ref="U7">SUM((home=S7)*(homescore&gt;visitorscore),(visitor=S7)*(visitorscore&gt;homescore))</f>
        <v>7</v>
      </c>
      <c r="V7" s="21">
        <f t="array" ref="V7">SUM((home=S7)*(homescore=visitorscore)*ISNUMBER(visitorscore),(visitor=S7)*(visitorscore=homescore)*ISNUMBER(homescore))</f>
        <v>1</v>
      </c>
      <c r="W7" s="21">
        <f t="array" ref="W7">SUM((home=S7)*(homescore&lt;visitorscore),(visitor=S7)*(visitorscore&lt;homescore))</f>
        <v>2</v>
      </c>
      <c r="X7" s="32">
        <f t="shared" ref="X7" si="12">SUMIF(home,S7,homescore)+SUMIF(visitor,S7,visitorscore)</f>
        <v>39</v>
      </c>
      <c r="Y7" s="33">
        <f t="shared" ref="Y7" si="13">SUMIF(home,S7,visitorscore)+SUMIF(visitor,S7,homescore)</f>
        <v>14</v>
      </c>
      <c r="Z7" s="34">
        <f t="shared" si="5"/>
        <v>25</v>
      </c>
      <c r="AA7" s="32">
        <f t="shared" si="6"/>
        <v>22</v>
      </c>
      <c r="AB7" s="20">
        <f t="shared" si="7"/>
        <v>22000250039</v>
      </c>
    </row>
    <row r="8" spans="1:28" x14ac:dyDescent="0.3">
      <c r="A8" s="35" t="str">
        <f>'2ndB+'!E12</f>
        <v>Foka</v>
      </c>
      <c r="B8" s="19"/>
      <c r="C8" s="19"/>
      <c r="S8" s="37" t="str">
        <f t="shared" si="0"/>
        <v>Cinek</v>
      </c>
      <c r="T8" s="31">
        <f t="array" ref="T8">SUM(($A$13:$A$43=S8)*(ISNUMBER($C$13:$C$43)),($B$13:$B$43=S8)*(ISNUMBER($E$13:$E$43)))</f>
        <v>10</v>
      </c>
      <c r="U8" s="21">
        <f t="array" ref="U8">SUM((home=S8)*(homescore&gt;visitorscore),(visitor=S8)*(visitorscore&gt;homescore))</f>
        <v>6</v>
      </c>
      <c r="V8" s="21">
        <f t="array" ref="V8">SUM((home=S8)*(homescore=visitorscore)*ISNUMBER(visitorscore),(visitor=S8)*(visitorscore=homescore)*ISNUMBER(homescore))</f>
        <v>1</v>
      </c>
      <c r="W8" s="21">
        <f t="array" ref="W8">SUM((home=S8)*(homescore&lt;visitorscore),(visitor=S8)*(visitorscore&lt;homescore))</f>
        <v>3</v>
      </c>
      <c r="X8" s="32">
        <f t="shared" ref="X8" si="14">SUMIF(home,S8,homescore)+SUMIF(visitor,S8,visitorscore)</f>
        <v>22</v>
      </c>
      <c r="Y8" s="33">
        <f t="shared" ref="Y8" si="15">SUMIF(home,S8,visitorscore)+SUMIF(visitor,S8,homescore)</f>
        <v>15</v>
      </c>
      <c r="Z8" s="34">
        <f t="shared" si="5"/>
        <v>7</v>
      </c>
      <c r="AA8" s="32">
        <f t="shared" si="6"/>
        <v>19</v>
      </c>
      <c r="AB8" s="20">
        <f t="shared" si="7"/>
        <v>19000070022</v>
      </c>
    </row>
    <row r="9" spans="1:28" x14ac:dyDescent="0.3">
      <c r="A9" s="35" t="str">
        <f>'2ndB+'!E13</f>
        <v>Cinek</v>
      </c>
      <c r="B9" s="19"/>
      <c r="C9" s="19"/>
    </row>
    <row r="10" spans="1:28" x14ac:dyDescent="0.3">
      <c r="T10" s="21">
        <f>SUM(T3:T8)</f>
        <v>60</v>
      </c>
    </row>
    <row r="12" spans="1:28" x14ac:dyDescent="0.3">
      <c r="A12" s="43" t="s">
        <v>62</v>
      </c>
      <c r="H12" s="38" t="s">
        <v>63</v>
      </c>
    </row>
    <row r="13" spans="1:28" x14ac:dyDescent="0.3">
      <c r="A13" s="39" t="str">
        <f>'2ndB'!B7</f>
        <v>Cinek</v>
      </c>
      <c r="B13" s="39" t="str">
        <f>'2ndB'!D7</f>
        <v>Szeszesek</v>
      </c>
      <c r="C13" s="40">
        <f>IF('2ndB'!E7="","",'2ndB'!E7)</f>
        <v>4</v>
      </c>
      <c r="D13" s="40" t="s">
        <v>64</v>
      </c>
      <c r="E13" s="40">
        <f>IF('2ndB'!G7="","",'2ndB'!G7)</f>
        <v>3</v>
      </c>
      <c r="F13" s="34"/>
    </row>
    <row r="14" spans="1:28" x14ac:dyDescent="0.3">
      <c r="A14" s="39" t="str">
        <f>'2ndB'!B8</f>
        <v>Fifko</v>
      </c>
      <c r="B14" s="39" t="str">
        <f>'2ndB'!D8</f>
        <v>Foka</v>
      </c>
      <c r="C14" s="40">
        <f>IF('2ndB'!E8="","",'2ndB'!E8)</f>
        <v>2</v>
      </c>
      <c r="D14" s="40" t="s">
        <v>64</v>
      </c>
      <c r="E14" s="40">
        <f>IF('2ndB'!G8="","",'2ndB'!G8)</f>
        <v>5</v>
      </c>
      <c r="F14" s="34"/>
      <c r="H14" s="41"/>
      <c r="I14" s="23" t="s">
        <v>51</v>
      </c>
      <c r="J14" s="24" t="s">
        <v>52</v>
      </c>
      <c r="K14" s="24" t="s">
        <v>53</v>
      </c>
      <c r="L14" s="24" t="s">
        <v>54</v>
      </c>
      <c r="M14" s="25" t="s">
        <v>55</v>
      </c>
      <c r="N14" s="26" t="s">
        <v>56</v>
      </c>
      <c r="O14" s="24" t="s">
        <v>57</v>
      </c>
      <c r="P14" s="25" t="s">
        <v>58</v>
      </c>
    </row>
    <row r="15" spans="1:28" x14ac:dyDescent="0.3">
      <c r="A15" s="39" t="str">
        <f>'2ndB'!B9</f>
        <v>Klinki</v>
      </c>
      <c r="B15" s="39" t="str">
        <f>'2ndB'!D9</f>
        <v>Schulle</v>
      </c>
      <c r="C15" s="40">
        <f>IF('2ndB'!E9="","",'2ndB'!E9)</f>
        <v>2</v>
      </c>
      <c r="D15" s="40" t="s">
        <v>64</v>
      </c>
      <c r="E15" s="40">
        <f>IF('2ndB'!G9="","",'2ndB'!G9)</f>
        <v>0</v>
      </c>
      <c r="F15" s="34"/>
      <c r="H15" s="42" t="str">
        <f t="array" ref="H15">INDEX($S$3:$S$8,MATCH(LARGE($AB$3:$AB$8-ROW($AB$3:$AB$8)/COUNT($AB$3:$AB$8),ROW(H15)-ROW(H$15)+1),$AB$3:$AB$8-ROW($AB$3:$AB$8)/COUNT($AB$3:$AB$8),0))</f>
        <v>Foka</v>
      </c>
      <c r="I15" s="33">
        <f t="shared" ref="I15:I20" si="16">VLOOKUP($H15,$S$3:$AA$8,2,0)</f>
        <v>10</v>
      </c>
      <c r="J15" s="21">
        <f t="shared" ref="J15:J20" si="17">VLOOKUP($H15,$S$3:$AA$8,3,0)</f>
        <v>7</v>
      </c>
      <c r="K15" s="21">
        <f t="shared" ref="K15:K20" si="18">VLOOKUP($H15,$S$3:$AA$8,4,0)</f>
        <v>1</v>
      </c>
      <c r="L15" s="21">
        <f t="shared" ref="L15:L20" si="19">VLOOKUP($H15,$S$3:$AA$8,5,0)</f>
        <v>2</v>
      </c>
      <c r="M15" s="32">
        <f t="shared" ref="M15:M20" si="20">VLOOKUP($H15,$S$3:$AA$8,6,0)</f>
        <v>39</v>
      </c>
      <c r="N15" s="33">
        <f t="shared" ref="N15:N20" si="21">VLOOKUP($H15,$S$3:$AA$8,7,0)</f>
        <v>14</v>
      </c>
      <c r="O15" s="21">
        <f t="shared" ref="O15:O20" si="22">VLOOKUP($H15,$S$3:$AA$8,8,0)</f>
        <v>25</v>
      </c>
      <c r="P15" s="32">
        <f t="shared" ref="P15:P20" si="23">VLOOKUP($H15,$S$3:$AA$8,9,0)</f>
        <v>22</v>
      </c>
      <c r="Q15" s="21">
        <f>VLOOKUP(H15,'2ndB+'!$E$8:$H$15,3,0)</f>
        <v>0</v>
      </c>
    </row>
    <row r="16" spans="1:28" x14ac:dyDescent="0.3">
      <c r="A16" s="39" t="str">
        <f>'2ndB'!B10</f>
        <v>Foka</v>
      </c>
      <c r="B16" s="39" t="str">
        <f>'2ndB'!D10</f>
        <v>Cinek</v>
      </c>
      <c r="C16" s="40">
        <f>IF('2ndB'!E10="","",'2ndB'!E10)</f>
        <v>3</v>
      </c>
      <c r="D16" s="40" t="s">
        <v>64</v>
      </c>
      <c r="E16" s="40">
        <f>IF('2ndB'!G10="","",'2ndB'!G10)</f>
        <v>1</v>
      </c>
      <c r="F16" s="34"/>
      <c r="H16" s="42" t="str">
        <f t="array" ref="H16">INDEX($S$3:$S$8,MATCH(LARGE($AB$3:$AB$8-ROW($AB$3:$AB$8)/COUNT($AB$3:$AB$8),ROW(H16)-ROW(H$15)+1),$AB$3:$AB$8-ROW($AB$3:$AB$8)/COUNT($AB$3:$AB$8),0))</f>
        <v>Cinek</v>
      </c>
      <c r="I16" s="33">
        <f t="shared" si="16"/>
        <v>10</v>
      </c>
      <c r="J16" s="21">
        <f t="shared" si="17"/>
        <v>6</v>
      </c>
      <c r="K16" s="21">
        <f t="shared" si="18"/>
        <v>1</v>
      </c>
      <c r="L16" s="21">
        <f t="shared" si="19"/>
        <v>3</v>
      </c>
      <c r="M16" s="32">
        <f t="shared" si="20"/>
        <v>22</v>
      </c>
      <c r="N16" s="33">
        <f t="shared" si="21"/>
        <v>15</v>
      </c>
      <c r="O16" s="21">
        <f t="shared" si="22"/>
        <v>7</v>
      </c>
      <c r="P16" s="32">
        <f t="shared" si="23"/>
        <v>19</v>
      </c>
      <c r="Q16" s="21">
        <f>VLOOKUP(H16,'2ndB+'!$E$8:$H$15,3,0)</f>
        <v>0</v>
      </c>
    </row>
    <row r="17" spans="1:17" x14ac:dyDescent="0.3">
      <c r="A17" s="39" t="str">
        <f>'2ndB'!B11</f>
        <v>Schulle</v>
      </c>
      <c r="B17" s="39" t="str">
        <f>'2ndB'!D11</f>
        <v>Szeszesek</v>
      </c>
      <c r="C17" s="40">
        <f>IF('2ndB'!E11="","",'2ndB'!E11)</f>
        <v>1</v>
      </c>
      <c r="D17" s="40" t="s">
        <v>64</v>
      </c>
      <c r="E17" s="40">
        <f>IF('2ndB'!G11="","",'2ndB'!G11)</f>
        <v>0</v>
      </c>
      <c r="F17" s="34"/>
      <c r="H17" s="42" t="str">
        <f t="array" ref="H17">INDEX($S$3:$S$8,MATCH(LARGE($AB$3:$AB$8-ROW($AB$3:$AB$8)/COUNT($AB$3:$AB$8),ROW(H17)-ROW(H$15)+1),$AB$3:$AB$8-ROW($AB$3:$AB$8)/COUNT($AB$3:$AB$8),0))</f>
        <v>Klinki</v>
      </c>
      <c r="I17" s="33">
        <f t="shared" si="16"/>
        <v>10</v>
      </c>
      <c r="J17" s="21">
        <f t="shared" si="17"/>
        <v>4</v>
      </c>
      <c r="K17" s="21">
        <f t="shared" si="18"/>
        <v>1</v>
      </c>
      <c r="L17" s="21">
        <f t="shared" si="19"/>
        <v>5</v>
      </c>
      <c r="M17" s="32">
        <f t="shared" si="20"/>
        <v>14</v>
      </c>
      <c r="N17" s="33">
        <f t="shared" si="21"/>
        <v>24</v>
      </c>
      <c r="O17" s="21">
        <f t="shared" si="22"/>
        <v>-10</v>
      </c>
      <c r="P17" s="32">
        <f t="shared" si="23"/>
        <v>13</v>
      </c>
      <c r="Q17" s="21">
        <f>VLOOKUP(H17,'2ndB+'!$E$8:$H$15,3,0)</f>
        <v>0</v>
      </c>
    </row>
    <row r="18" spans="1:17" x14ac:dyDescent="0.3">
      <c r="A18" s="39" t="str">
        <f>'2ndB'!B12</f>
        <v>Klinki</v>
      </c>
      <c r="B18" s="39" t="str">
        <f>'2ndB'!D12</f>
        <v>Fifko</v>
      </c>
      <c r="C18" s="40">
        <f>IF('2ndB'!E12="","",'2ndB'!E12)</f>
        <v>4</v>
      </c>
      <c r="D18" s="40" t="s">
        <v>64</v>
      </c>
      <c r="E18" s="40">
        <f>IF('2ndB'!G12="","",'2ndB'!G12)</f>
        <v>2</v>
      </c>
      <c r="F18" s="34"/>
      <c r="H18" s="42" t="str">
        <f t="array" ref="H18">INDEX($S$3:$S$8,MATCH(LARGE($AB$3:$AB$8-ROW($AB$3:$AB$8)/COUNT($AB$3:$AB$8),ROW(H18)-ROW(H$15)+1),$AB$3:$AB$8-ROW($AB$3:$AB$8)/COUNT($AB$3:$AB$8),0))</f>
        <v>Schulle</v>
      </c>
      <c r="I18" s="33">
        <f t="shared" si="16"/>
        <v>10</v>
      </c>
      <c r="J18" s="21">
        <f t="shared" si="17"/>
        <v>3</v>
      </c>
      <c r="K18" s="21">
        <f t="shared" si="18"/>
        <v>3</v>
      </c>
      <c r="L18" s="21">
        <f t="shared" si="19"/>
        <v>4</v>
      </c>
      <c r="M18" s="32">
        <f t="shared" si="20"/>
        <v>15</v>
      </c>
      <c r="N18" s="33">
        <f t="shared" si="21"/>
        <v>18</v>
      </c>
      <c r="O18" s="21">
        <f t="shared" si="22"/>
        <v>-3</v>
      </c>
      <c r="P18" s="32">
        <f t="shared" si="23"/>
        <v>12</v>
      </c>
      <c r="Q18" s="21">
        <f>VLOOKUP(H18,'2ndB+'!$E$8:$H$15,3,0)</f>
        <v>0</v>
      </c>
    </row>
    <row r="19" spans="1:17" x14ac:dyDescent="0.3">
      <c r="A19" s="39" t="str">
        <f>'2ndB'!B13</f>
        <v>Cinek</v>
      </c>
      <c r="B19" s="39" t="str">
        <f>'2ndB'!D13</f>
        <v>Schulle</v>
      </c>
      <c r="C19" s="40">
        <f>IF('2ndB'!E13="","",'2ndB'!E13)</f>
        <v>1</v>
      </c>
      <c r="D19" s="40" t="s">
        <v>64</v>
      </c>
      <c r="E19" s="40">
        <f>IF('2ndB'!G13="","",'2ndB'!G13)</f>
        <v>2</v>
      </c>
      <c r="H19" s="42" t="str">
        <f t="array" ref="H19">INDEX($S$3:$S$8,MATCH(LARGE($AB$3:$AB$8-ROW($AB$3:$AB$8)/COUNT($AB$3:$AB$8),ROW(H19)-ROW(H$15)+1),$AB$3:$AB$8-ROW($AB$3:$AB$8)/COUNT($AB$3:$AB$8),0))</f>
        <v>Szeszesek</v>
      </c>
      <c r="I19" s="33">
        <f t="shared" si="16"/>
        <v>10</v>
      </c>
      <c r="J19" s="21">
        <f t="shared" si="17"/>
        <v>3</v>
      </c>
      <c r="K19" s="21">
        <f t="shared" si="18"/>
        <v>2</v>
      </c>
      <c r="L19" s="21">
        <f t="shared" si="19"/>
        <v>5</v>
      </c>
      <c r="M19" s="32">
        <f t="shared" si="20"/>
        <v>11</v>
      </c>
      <c r="N19" s="33">
        <f t="shared" si="21"/>
        <v>19</v>
      </c>
      <c r="O19" s="21">
        <f t="shared" si="22"/>
        <v>-8</v>
      </c>
      <c r="P19" s="32">
        <f t="shared" si="23"/>
        <v>11</v>
      </c>
      <c r="Q19" s="21">
        <f>VLOOKUP(H19,'2ndB+'!$E$8:$H$15,3,0)</f>
        <v>0</v>
      </c>
    </row>
    <row r="20" spans="1:17" x14ac:dyDescent="0.3">
      <c r="A20" s="39" t="str">
        <f>'2ndB'!B14</f>
        <v>Foka</v>
      </c>
      <c r="B20" s="39" t="str">
        <f>'2ndB'!D14</f>
        <v>Klinki</v>
      </c>
      <c r="C20" s="40">
        <f>IF('2ndB'!E14="","",'2ndB'!E14)</f>
        <v>6</v>
      </c>
      <c r="D20" s="40" t="s">
        <v>64</v>
      </c>
      <c r="E20" s="40">
        <f>IF('2ndB'!G14="","",'2ndB'!G14)</f>
        <v>0</v>
      </c>
      <c r="H20" s="42" t="str">
        <f t="array" ref="H20">INDEX($S$3:$S$8,MATCH(LARGE($AB$3:$AB$8-ROW($AB$3:$AB$8)/COUNT($AB$3:$AB$8),ROW(H20)-ROW(H$15)+1),$AB$3:$AB$8-ROW($AB$3:$AB$8)/COUNT($AB$3:$AB$8),0))</f>
        <v>Fifko</v>
      </c>
      <c r="I20" s="33">
        <f t="shared" si="16"/>
        <v>10</v>
      </c>
      <c r="J20" s="21">
        <f t="shared" si="17"/>
        <v>3</v>
      </c>
      <c r="K20" s="21">
        <f t="shared" si="18"/>
        <v>0</v>
      </c>
      <c r="L20" s="21">
        <f t="shared" si="19"/>
        <v>7</v>
      </c>
      <c r="M20" s="32">
        <f t="shared" si="20"/>
        <v>15</v>
      </c>
      <c r="N20" s="33">
        <f t="shared" si="21"/>
        <v>26</v>
      </c>
      <c r="O20" s="21">
        <f t="shared" si="22"/>
        <v>-11</v>
      </c>
      <c r="P20" s="32">
        <f t="shared" si="23"/>
        <v>9</v>
      </c>
      <c r="Q20" s="21">
        <f>VLOOKUP(H20,'2ndB+'!$E$8:$H$15,3,0)</f>
        <v>0</v>
      </c>
    </row>
    <row r="21" spans="1:17" x14ac:dyDescent="0.3">
      <c r="A21" s="39" t="str">
        <f>'2ndB'!B15</f>
        <v>Szeszesek</v>
      </c>
      <c r="B21" s="39" t="str">
        <f>'2ndB'!D15</f>
        <v>Fifko</v>
      </c>
      <c r="C21" s="40">
        <f>IF('2ndB'!E15="","",'2ndB'!E15)</f>
        <v>0</v>
      </c>
      <c r="D21" s="40" t="s">
        <v>64</v>
      </c>
      <c r="E21" s="40">
        <f>IF('2ndB'!G15="","",'2ndB'!G15)</f>
        <v>3</v>
      </c>
    </row>
    <row r="22" spans="1:17" x14ac:dyDescent="0.3">
      <c r="A22" s="39" t="str">
        <f>'2ndB'!B16</f>
        <v>Klinki</v>
      </c>
      <c r="B22" s="39" t="str">
        <f>'2ndB'!D16</f>
        <v>Cinek</v>
      </c>
      <c r="C22" s="40">
        <f>IF('2ndB'!E16="","",'2ndB'!E16)</f>
        <v>2</v>
      </c>
      <c r="D22" s="40" t="s">
        <v>64</v>
      </c>
      <c r="E22" s="40">
        <f>IF('2ndB'!G16="","",'2ndB'!G16)</f>
        <v>4</v>
      </c>
    </row>
    <row r="23" spans="1:17" x14ac:dyDescent="0.3">
      <c r="A23" s="39" t="str">
        <f>'2ndB'!B17</f>
        <v>Fifko</v>
      </c>
      <c r="B23" s="39" t="str">
        <f>'2ndB'!D17</f>
        <v>Schulle</v>
      </c>
      <c r="C23" s="40">
        <f>IF('2ndB'!E17="","",'2ndB'!E17)</f>
        <v>2</v>
      </c>
      <c r="D23" s="40" t="s">
        <v>64</v>
      </c>
      <c r="E23" s="40">
        <f>IF('2ndB'!G17="","",'2ndB'!G17)</f>
        <v>0</v>
      </c>
    </row>
    <row r="24" spans="1:17" x14ac:dyDescent="0.3">
      <c r="A24" s="39" t="str">
        <f>'2ndB'!B18</f>
        <v>Szeszesek</v>
      </c>
      <c r="B24" s="39" t="str">
        <f>'2ndB'!D18</f>
        <v>Foka</v>
      </c>
      <c r="C24" s="40">
        <f>IF('2ndB'!E18="","",'2ndB'!E18)</f>
        <v>3</v>
      </c>
      <c r="D24" s="40" t="s">
        <v>64</v>
      </c>
      <c r="E24" s="40">
        <f>IF('2ndB'!G18="","",'2ndB'!G18)</f>
        <v>1</v>
      </c>
    </row>
    <row r="25" spans="1:17" x14ac:dyDescent="0.3">
      <c r="A25" s="39" t="str">
        <f>'2ndB'!B19</f>
        <v>Cinek</v>
      </c>
      <c r="B25" s="39" t="str">
        <f>'2ndB'!D19</f>
        <v>Fifko</v>
      </c>
      <c r="C25" s="40">
        <f>IF('2ndB'!E19="","",'2ndB'!E19)</f>
        <v>3</v>
      </c>
      <c r="D25" s="40" t="s">
        <v>64</v>
      </c>
      <c r="E25" s="40">
        <f>IF('2ndB'!G19="","",'2ndB'!G19)</f>
        <v>0</v>
      </c>
    </row>
    <row r="26" spans="1:17" x14ac:dyDescent="0.3">
      <c r="A26" s="39" t="str">
        <f>'2ndB'!B20</f>
        <v>Klinki</v>
      </c>
      <c r="B26" s="39" t="str">
        <f>'2ndB'!D20</f>
        <v>Szeszesek</v>
      </c>
      <c r="C26" s="40">
        <f>IF('2ndB'!E20="","",'2ndB'!E20)</f>
        <v>0</v>
      </c>
      <c r="D26" s="40" t="s">
        <v>64</v>
      </c>
      <c r="E26" s="40">
        <f>IF('2ndB'!G20="","",'2ndB'!G20)</f>
        <v>0</v>
      </c>
    </row>
    <row r="27" spans="1:17" x14ac:dyDescent="0.3">
      <c r="A27" s="39" t="str">
        <f>'2ndB'!B21</f>
        <v>Schulle</v>
      </c>
      <c r="B27" s="39" t="str">
        <f>'2ndB'!D21</f>
        <v>Foka</v>
      </c>
      <c r="C27" s="40">
        <f>IF('2ndB'!E21="","",'2ndB'!E21)</f>
        <v>2</v>
      </c>
      <c r="D27" s="40" t="s">
        <v>64</v>
      </c>
      <c r="E27" s="40">
        <f>IF('2ndB'!G21="","",'2ndB'!G21)</f>
        <v>2</v>
      </c>
    </row>
    <row r="28" spans="1:17" x14ac:dyDescent="0.3">
      <c r="A28" s="39" t="str">
        <f>'2ndB'!J7</f>
        <v>Szeszesek</v>
      </c>
      <c r="B28" s="39" t="str">
        <f>'2ndB'!L7</f>
        <v>Cinek</v>
      </c>
      <c r="C28" s="40">
        <f>IF('2ndB'!M7="","",'2ndB'!M7)</f>
        <v>2</v>
      </c>
      <c r="D28" s="40" t="s">
        <v>64</v>
      </c>
      <c r="E28" s="40">
        <f>IF('2ndB'!O7="","",'2ndB'!O7)</f>
        <v>1</v>
      </c>
    </row>
    <row r="29" spans="1:17" x14ac:dyDescent="0.3">
      <c r="A29" s="39" t="str">
        <f>'2ndB'!J8</f>
        <v>Foka</v>
      </c>
      <c r="B29" s="39" t="str">
        <f>'2ndB'!L8</f>
        <v>Fifko</v>
      </c>
      <c r="C29" s="40">
        <f>IF('2ndB'!M8="","",'2ndB'!M8)</f>
        <v>3</v>
      </c>
      <c r="D29" s="40" t="s">
        <v>64</v>
      </c>
      <c r="E29" s="40">
        <f>IF('2ndB'!O8="","",'2ndB'!O8)</f>
        <v>0</v>
      </c>
    </row>
    <row r="30" spans="1:17" x14ac:dyDescent="0.3">
      <c r="A30" s="39" t="str">
        <f>'2ndB'!J9</f>
        <v>Schulle</v>
      </c>
      <c r="B30" s="39" t="str">
        <f>'2ndB'!L9</f>
        <v>Klinki</v>
      </c>
      <c r="C30" s="40">
        <f>IF('2ndB'!M9="","",'2ndB'!M9)</f>
        <v>1</v>
      </c>
      <c r="D30" s="40" t="s">
        <v>64</v>
      </c>
      <c r="E30" s="40">
        <f>IF('2ndB'!O9="","",'2ndB'!O9)</f>
        <v>2</v>
      </c>
    </row>
    <row r="31" spans="1:17" x14ac:dyDescent="0.3">
      <c r="A31" s="39" t="str">
        <f>'2ndB'!J10</f>
        <v>Cinek</v>
      </c>
      <c r="B31" s="39" t="str">
        <f>'2ndB'!L10</f>
        <v>Foka</v>
      </c>
      <c r="C31" s="40">
        <f>IF('2ndB'!M10="","",'2ndB'!M10)</f>
        <v>2</v>
      </c>
      <c r="D31" s="40" t="s">
        <v>64</v>
      </c>
      <c r="E31" s="40">
        <f>IF('2ndB'!O10="","",'2ndB'!O10)</f>
        <v>1</v>
      </c>
    </row>
    <row r="32" spans="1:17" x14ac:dyDescent="0.3">
      <c r="A32" s="39" t="str">
        <f>'2ndB'!J11</f>
        <v>Szeszesek</v>
      </c>
      <c r="B32" s="39" t="str">
        <f>'2ndB'!L11</f>
        <v>Schulle</v>
      </c>
      <c r="C32" s="40">
        <f>IF('2ndB'!M11="","",'2ndB'!M11)</f>
        <v>0</v>
      </c>
      <c r="D32" s="40" t="s">
        <v>64</v>
      </c>
      <c r="E32" s="40">
        <f>IF('2ndB'!O11="","",'2ndB'!O11)</f>
        <v>0</v>
      </c>
    </row>
    <row r="33" spans="1:5" x14ac:dyDescent="0.3">
      <c r="A33" s="39" t="str">
        <f>'2ndB'!J12</f>
        <v>Fifko</v>
      </c>
      <c r="B33" s="39" t="str">
        <f>'2ndB'!L12</f>
        <v>Klinki</v>
      </c>
      <c r="C33" s="40">
        <f>IF('2ndB'!M12="","",'2ndB'!M12)</f>
        <v>0</v>
      </c>
      <c r="D33" s="40" t="s">
        <v>64</v>
      </c>
      <c r="E33" s="40">
        <f>IF('2ndB'!O12="","",'2ndB'!O12)</f>
        <v>2</v>
      </c>
    </row>
    <row r="34" spans="1:5" x14ac:dyDescent="0.3">
      <c r="A34" s="39" t="str">
        <f>'2ndB'!J13</f>
        <v>Schulle</v>
      </c>
      <c r="B34" s="39" t="str">
        <f>'2ndB'!L13</f>
        <v>Cinek</v>
      </c>
      <c r="C34" s="40">
        <f>IF('2ndB'!M13="","",'2ndB'!M13)</f>
        <v>1</v>
      </c>
      <c r="D34" s="40" t="s">
        <v>64</v>
      </c>
      <c r="E34" s="40">
        <f>IF('2ndB'!O13="","",'2ndB'!O13)</f>
        <v>1</v>
      </c>
    </row>
    <row r="35" spans="1:5" x14ac:dyDescent="0.3">
      <c r="A35" s="39" t="str">
        <f>'2ndB'!J14</f>
        <v>Klinki</v>
      </c>
      <c r="B35" s="39" t="str">
        <f>'2ndB'!L14</f>
        <v>Foka</v>
      </c>
      <c r="C35" s="40">
        <f>IF('2ndB'!M14="","",'2ndB'!M14)</f>
        <v>2</v>
      </c>
      <c r="D35" s="40" t="s">
        <v>64</v>
      </c>
      <c r="E35" s="40">
        <f>IF('2ndB'!O14="","",'2ndB'!O14)</f>
        <v>6</v>
      </c>
    </row>
    <row r="36" spans="1:5" x14ac:dyDescent="0.3">
      <c r="A36" s="39" t="str">
        <f>'2ndB'!J15</f>
        <v>Fifko</v>
      </c>
      <c r="B36" s="39" t="str">
        <f>'2ndB'!L15</f>
        <v>Szeszesek</v>
      </c>
      <c r="C36" s="40">
        <f>IF('2ndB'!M15="","",'2ndB'!M15)</f>
        <v>4</v>
      </c>
      <c r="D36" s="40" t="s">
        <v>64</v>
      </c>
      <c r="E36" s="40">
        <f>IF('2ndB'!O15="","",'2ndB'!O15)</f>
        <v>1</v>
      </c>
    </row>
    <row r="37" spans="1:5" x14ac:dyDescent="0.3">
      <c r="A37" s="39" t="str">
        <f>'2ndB'!J16</f>
        <v>Cinek</v>
      </c>
      <c r="B37" s="39" t="str">
        <f>'2ndB'!L16</f>
        <v>Klinki</v>
      </c>
      <c r="C37" s="40">
        <f>IF('2ndB'!M16="","",'2ndB'!M16)</f>
        <v>3</v>
      </c>
      <c r="D37" s="40" t="s">
        <v>64</v>
      </c>
      <c r="E37" s="40">
        <f>IF('2ndB'!O16="","",'2ndB'!O16)</f>
        <v>0</v>
      </c>
    </row>
    <row r="38" spans="1:5" x14ac:dyDescent="0.3">
      <c r="A38" s="39" t="str">
        <f>'2ndB'!J17</f>
        <v>Schulle</v>
      </c>
      <c r="B38" s="39" t="str">
        <f>'2ndB'!L17</f>
        <v>Fifko</v>
      </c>
      <c r="C38" s="40">
        <f>IF('2ndB'!M17="","",'2ndB'!M17)</f>
        <v>6</v>
      </c>
      <c r="D38" s="40" t="s">
        <v>64</v>
      </c>
      <c r="E38" s="40">
        <f>IF('2ndB'!O17="","",'2ndB'!O17)</f>
        <v>1</v>
      </c>
    </row>
    <row r="39" spans="1:5" x14ac:dyDescent="0.3">
      <c r="A39" s="39" t="str">
        <f>'2ndB'!J18</f>
        <v>Foka</v>
      </c>
      <c r="B39" s="39" t="str">
        <f>'2ndB'!L18</f>
        <v>Szeszesek</v>
      </c>
      <c r="C39" s="40">
        <f>IF('2ndB'!M18="","",'2ndB'!M18)</f>
        <v>5</v>
      </c>
      <c r="D39" s="40" t="s">
        <v>64</v>
      </c>
      <c r="E39" s="40">
        <f>IF('2ndB'!O18="","",'2ndB'!O18)</f>
        <v>0</v>
      </c>
    </row>
    <row r="40" spans="1:5" x14ac:dyDescent="0.3">
      <c r="A40" s="39" t="str">
        <f>'2ndB'!J19</f>
        <v>Fifko</v>
      </c>
      <c r="B40" s="39" t="str">
        <f>'2ndB'!L19</f>
        <v>Cinek</v>
      </c>
      <c r="C40" s="40">
        <f>IF('2ndB'!M19="","",'2ndB'!M19)</f>
        <v>1</v>
      </c>
      <c r="D40" s="40" t="s">
        <v>64</v>
      </c>
      <c r="E40" s="40">
        <f>IF('2ndB'!O19="","",'2ndB'!O19)</f>
        <v>2</v>
      </c>
    </row>
    <row r="41" spans="1:5" x14ac:dyDescent="0.3">
      <c r="A41" s="39" t="str">
        <f>'2ndB'!J20</f>
        <v>Szeszesek</v>
      </c>
      <c r="B41" s="39" t="str">
        <f>'2ndB'!L20</f>
        <v>Klinki</v>
      </c>
      <c r="C41" s="40">
        <f>IF('2ndB'!M20="","",'2ndB'!M20)</f>
        <v>2</v>
      </c>
      <c r="D41" s="40" t="s">
        <v>64</v>
      </c>
      <c r="E41" s="40">
        <f>IF('2ndB'!O20="","",'2ndB'!O20)</f>
        <v>0</v>
      </c>
    </row>
    <row r="42" spans="1:5" x14ac:dyDescent="0.3">
      <c r="A42" s="39" t="str">
        <f>'2ndB'!J21</f>
        <v>Foka</v>
      </c>
      <c r="B42" s="39" t="str">
        <f>'2ndB'!L21</f>
        <v>Schulle</v>
      </c>
      <c r="C42" s="40">
        <f>IF('2ndB'!M21="","",'2ndB'!M21)</f>
        <v>7</v>
      </c>
      <c r="D42" s="40" t="s">
        <v>64</v>
      </c>
      <c r="E42" s="40">
        <f>IF('2ndB'!O21="","",'2ndB'!O21)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V26"/>
  <sheetViews>
    <sheetView workbookViewId="0">
      <selection activeCell="K28" sqref="K28"/>
    </sheetView>
  </sheetViews>
  <sheetFormatPr defaultColWidth="8.88671875" defaultRowHeight="14.4" x14ac:dyDescent="0.3"/>
  <cols>
    <col min="1" max="1" width="15.6640625" style="21" customWidth="1"/>
    <col min="2" max="2" width="5" style="21" customWidth="1"/>
    <col min="3" max="9" width="5" style="20" customWidth="1"/>
    <col min="10" max="10" width="11.44140625" style="20" customWidth="1"/>
    <col min="11" max="11" width="8.88671875" style="20" customWidth="1"/>
    <col min="12" max="12" width="15" style="20" bestFit="1" customWidth="1"/>
    <col min="13" max="19" width="9.109375" style="20" customWidth="1"/>
    <col min="20" max="20" width="3.88671875" style="20" bestFit="1" customWidth="1"/>
    <col min="21" max="21" width="12" style="20" bestFit="1" customWidth="1"/>
    <col min="22" max="16384" width="8.88671875" style="20"/>
  </cols>
  <sheetData>
    <row r="2" spans="1:22" x14ac:dyDescent="0.3">
      <c r="M2" s="40" t="s">
        <v>51</v>
      </c>
      <c r="N2" s="40" t="s">
        <v>52</v>
      </c>
      <c r="O2" s="40" t="s">
        <v>53</v>
      </c>
      <c r="P2" s="40" t="s">
        <v>54</v>
      </c>
      <c r="Q2" s="40" t="s">
        <v>55</v>
      </c>
      <c r="R2" s="40" t="s">
        <v>56</v>
      </c>
      <c r="S2" s="40" t="s">
        <v>57</v>
      </c>
      <c r="T2" s="40" t="s">
        <v>58</v>
      </c>
      <c r="U2" s="125" t="s">
        <v>59</v>
      </c>
    </row>
    <row r="3" spans="1:22" x14ac:dyDescent="0.3">
      <c r="L3" s="124" t="str">
        <f>'2ndA res'!H15</f>
        <v>Sanek</v>
      </c>
      <c r="M3" s="124">
        <f>'2ndA res'!I15</f>
        <v>10</v>
      </c>
      <c r="N3" s="124">
        <f>'2ndA res'!J15</f>
        <v>7</v>
      </c>
      <c r="O3" s="124">
        <f>'2ndA res'!K15</f>
        <v>1</v>
      </c>
      <c r="P3" s="124">
        <f>'2ndA res'!L15</f>
        <v>2</v>
      </c>
      <c r="Q3" s="124">
        <f>'2ndA res'!M15</f>
        <v>27</v>
      </c>
      <c r="R3" s="124">
        <f>'2ndA res'!N15</f>
        <v>12</v>
      </c>
      <c r="S3" s="124">
        <f>'2ndA res'!O15</f>
        <v>15</v>
      </c>
      <c r="T3" s="124">
        <f>'2ndA res'!P15</f>
        <v>22</v>
      </c>
      <c r="U3" s="39">
        <f>Q3+S3*10000+T3*1000000000</f>
        <v>22000150027</v>
      </c>
      <c r="V3" s="20">
        <f>VLOOKUP(L3,'2ndA res'!H15:Q20,10,0)</f>
        <v>0</v>
      </c>
    </row>
    <row r="4" spans="1:22" x14ac:dyDescent="0.3">
      <c r="L4" s="124" t="str">
        <f>'2ndA res'!H16</f>
        <v>AndYpsilon</v>
      </c>
      <c r="M4" s="124">
        <f>'2ndA res'!I16</f>
        <v>10</v>
      </c>
      <c r="N4" s="124">
        <f>'2ndA res'!J16</f>
        <v>7</v>
      </c>
      <c r="O4" s="124">
        <f>'2ndA res'!K16</f>
        <v>0</v>
      </c>
      <c r="P4" s="124">
        <f>'2ndA res'!L16</f>
        <v>3</v>
      </c>
      <c r="Q4" s="124">
        <f>'2ndA res'!M16</f>
        <v>30</v>
      </c>
      <c r="R4" s="124">
        <f>'2ndA res'!N16</f>
        <v>11</v>
      </c>
      <c r="S4" s="124">
        <f>'2ndA res'!O16</f>
        <v>19</v>
      </c>
      <c r="T4" s="124">
        <f>'2ndA res'!P16</f>
        <v>21</v>
      </c>
      <c r="U4" s="39">
        <f>Q4+S4*10000+T4*1000000000</f>
        <v>21000190030</v>
      </c>
      <c r="V4" s="20">
        <f>VLOOKUP(L4,'2ndA res'!H16:Q21,10,0)</f>
        <v>0</v>
      </c>
    </row>
    <row r="5" spans="1:22" x14ac:dyDescent="0.3">
      <c r="L5" s="124" t="str">
        <f>'2ndB res'!H15</f>
        <v>Foka</v>
      </c>
      <c r="M5" s="124">
        <f>'2ndB res'!I15</f>
        <v>10</v>
      </c>
      <c r="N5" s="124">
        <f>'2ndB res'!J15</f>
        <v>7</v>
      </c>
      <c r="O5" s="124">
        <f>'2ndB res'!K15</f>
        <v>1</v>
      </c>
      <c r="P5" s="124">
        <f>'2ndB res'!L15</f>
        <v>2</v>
      </c>
      <c r="Q5" s="124">
        <f>'2ndB res'!M15</f>
        <v>39</v>
      </c>
      <c r="R5" s="124">
        <f>'2ndB res'!N15</f>
        <v>14</v>
      </c>
      <c r="S5" s="124">
        <f>'2ndB res'!O15</f>
        <v>25</v>
      </c>
      <c r="T5" s="124">
        <f>'2ndB res'!P15</f>
        <v>22</v>
      </c>
      <c r="U5" s="39">
        <f t="shared" ref="U5:U6" si="0">Q5+S5*10000+T5*1000000000</f>
        <v>22000250039</v>
      </c>
      <c r="V5" s="20">
        <f>VLOOKUP(L5,'2ndB res'!H15:Q20,10,0)</f>
        <v>0</v>
      </c>
    </row>
    <row r="6" spans="1:22" x14ac:dyDescent="0.3">
      <c r="L6" s="124" t="str">
        <f>'2ndB res'!H16</f>
        <v>Cinek</v>
      </c>
      <c r="M6" s="124">
        <f>'2ndB res'!I16</f>
        <v>10</v>
      </c>
      <c r="N6" s="124">
        <f>'2ndB res'!J16</f>
        <v>6</v>
      </c>
      <c r="O6" s="124">
        <f>'2ndB res'!K16</f>
        <v>1</v>
      </c>
      <c r="P6" s="124">
        <f>'2ndB res'!L16</f>
        <v>3</v>
      </c>
      <c r="Q6" s="124">
        <f>'2ndB res'!M16</f>
        <v>22</v>
      </c>
      <c r="R6" s="124">
        <f>'2ndB res'!N16</f>
        <v>15</v>
      </c>
      <c r="S6" s="124">
        <f>'2ndB res'!O16</f>
        <v>7</v>
      </c>
      <c r="T6" s="124">
        <f>'2ndB res'!P16</f>
        <v>19</v>
      </c>
      <c r="U6" s="39">
        <f t="shared" si="0"/>
        <v>19000070022</v>
      </c>
      <c r="V6" s="20">
        <f>VLOOKUP(L6,'2ndB res'!H16:Q21,10,0)</f>
        <v>0</v>
      </c>
    </row>
    <row r="8" spans="1:22" x14ac:dyDescent="0.3">
      <c r="M8" s="21">
        <f>'2ndA res'!T10+'2ndB res'!T10</f>
        <v>120</v>
      </c>
    </row>
    <row r="12" spans="1:22" x14ac:dyDescent="0.3">
      <c r="A12" s="38" t="s">
        <v>63</v>
      </c>
    </row>
    <row r="14" spans="1:22" x14ac:dyDescent="0.3">
      <c r="A14" s="41"/>
      <c r="B14" s="23" t="s">
        <v>51</v>
      </c>
      <c r="C14" s="24" t="s">
        <v>52</v>
      </c>
      <c r="D14" s="24" t="s">
        <v>53</v>
      </c>
      <c r="E14" s="24" t="s">
        <v>54</v>
      </c>
      <c r="F14" s="25" t="s">
        <v>55</v>
      </c>
      <c r="G14" s="26" t="s">
        <v>56</v>
      </c>
      <c r="H14" s="24" t="s">
        <v>57</v>
      </c>
      <c r="I14" s="25" t="s">
        <v>58</v>
      </c>
    </row>
    <row r="15" spans="1:22" x14ac:dyDescent="0.3">
      <c r="A15" s="33" t="str">
        <f t="array" ref="A15">INDEX($L$3:$L$14,MATCH(LARGE($U$3:$U$14-ROW($U$3:$U$14)/COUNT($U$3:$U$14),ROW(A15)-ROW(A$15)+1),$U$3:$U$14-ROW($U$3:$U$14)/COUNT($U$3:$U$14),0))</f>
        <v>Foka</v>
      </c>
      <c r="B15" s="33">
        <f>VLOOKUP($A15,$L$3:$T$8,2,0)</f>
        <v>10</v>
      </c>
      <c r="C15" s="21">
        <f>VLOOKUP($A15,$L$3:$T$8,3,0)</f>
        <v>7</v>
      </c>
      <c r="D15" s="21">
        <f>VLOOKUP($A15,$L$3:$T$8,4,0)</f>
        <v>1</v>
      </c>
      <c r="E15" s="21">
        <f>VLOOKUP($A15,$L$3:$T$8,5,0)</f>
        <v>2</v>
      </c>
      <c r="F15" s="32">
        <f>VLOOKUP($A15,$L$3:$T$8,6,0)</f>
        <v>39</v>
      </c>
      <c r="G15" s="33">
        <f>VLOOKUP($A15,$L$3:$T$8,7,0)</f>
        <v>14</v>
      </c>
      <c r="H15" s="21">
        <f>VLOOKUP($A15,$L$3:$T$8,8,0)</f>
        <v>25</v>
      </c>
      <c r="I15" s="32">
        <f>VLOOKUP($A15,$L$3:$T$8,9,0)</f>
        <v>22</v>
      </c>
      <c r="J15" s="20">
        <f>VLOOKUP(A15,$L$3:$V$6,11,0)</f>
        <v>0</v>
      </c>
    </row>
    <row r="16" spans="1:22" x14ac:dyDescent="0.3">
      <c r="A16" s="33" t="str">
        <f t="array" ref="A16">INDEX($L$3:$L$14,MATCH(LARGE($U$3:$U$14-ROW($U$3:$U$14)/COUNT($U$3:$U$14),ROW(A16)-ROW(A$15)+1),$U$3:$U$14-ROW($U$3:$U$14)/COUNT($U$3:$U$14),0))</f>
        <v>Sanek</v>
      </c>
      <c r="B16" s="33">
        <f>VLOOKUP($A16,$L$3:$T$8,2,0)</f>
        <v>10</v>
      </c>
      <c r="C16" s="21">
        <f>VLOOKUP($A16,$L$3:$T$8,3,0)</f>
        <v>7</v>
      </c>
      <c r="D16" s="21">
        <f>VLOOKUP($A16,$L$3:$T$8,4,0)</f>
        <v>1</v>
      </c>
      <c r="E16" s="21">
        <f>VLOOKUP($A16,$L$3:$T$8,5,0)</f>
        <v>2</v>
      </c>
      <c r="F16" s="32">
        <f>VLOOKUP($A16,$L$3:$T$8,6,0)</f>
        <v>27</v>
      </c>
      <c r="G16" s="33">
        <f>VLOOKUP($A16,$L$3:$T$8,7,0)</f>
        <v>12</v>
      </c>
      <c r="H16" s="21">
        <f>VLOOKUP($A16,$L$3:$T$8,8,0)</f>
        <v>15</v>
      </c>
      <c r="I16" s="32">
        <f>VLOOKUP($A16,$L$3:$T$8,9,0)</f>
        <v>22</v>
      </c>
      <c r="J16" s="20">
        <f t="shared" ref="J16:J18" si="1">VLOOKUP(A16,$L$3:$V$6,11,0)</f>
        <v>0</v>
      </c>
    </row>
    <row r="17" spans="1:10" x14ac:dyDescent="0.3">
      <c r="A17" s="33" t="str">
        <f t="array" ref="A17">INDEX($L$3:$L$14,MATCH(LARGE($U$3:$U$14-ROW($U$3:$U$14)/COUNT($U$3:$U$14),ROW(A17)-ROW(A$15)+1),$U$3:$U$14-ROW($U$3:$U$14)/COUNT($U$3:$U$14),0))</f>
        <v>AndYpsilon</v>
      </c>
      <c r="B17" s="33">
        <f>VLOOKUP($A17,$L$3:$T$8,2,0)</f>
        <v>10</v>
      </c>
      <c r="C17" s="21">
        <f>VLOOKUP($A17,$L$3:$T$8,3,0)</f>
        <v>7</v>
      </c>
      <c r="D17" s="21">
        <f>VLOOKUP($A17,$L$3:$T$8,4,0)</f>
        <v>0</v>
      </c>
      <c r="E17" s="21">
        <f>VLOOKUP($A17,$L$3:$T$8,5,0)</f>
        <v>3</v>
      </c>
      <c r="F17" s="32">
        <f>VLOOKUP($A17,$L$3:$T$8,6,0)</f>
        <v>30</v>
      </c>
      <c r="G17" s="33">
        <f>VLOOKUP($A17,$L$3:$T$8,7,0)</f>
        <v>11</v>
      </c>
      <c r="H17" s="21">
        <f>VLOOKUP($A17,$L$3:$T$8,8,0)</f>
        <v>19</v>
      </c>
      <c r="I17" s="32">
        <f>VLOOKUP($A17,$L$3:$T$8,9,0)</f>
        <v>21</v>
      </c>
      <c r="J17" s="20">
        <f t="shared" si="1"/>
        <v>0</v>
      </c>
    </row>
    <row r="18" spans="1:10" x14ac:dyDescent="0.3">
      <c r="A18" s="33" t="str">
        <f t="array" ref="A18">INDEX($L$3:$L$14,MATCH(LARGE($U$3:$U$14-ROW($U$3:$U$14)/COUNT($U$3:$U$14),ROW(A18)-ROW(A$15)+1),$U$3:$U$14-ROW($U$3:$U$14)/COUNT($U$3:$U$14),0))</f>
        <v>Cinek</v>
      </c>
      <c r="B18" s="33">
        <f>VLOOKUP($A18,$L$3:$T$8,2,0)</f>
        <v>10</v>
      </c>
      <c r="C18" s="21">
        <f>VLOOKUP($A18,$L$3:$T$8,3,0)</f>
        <v>6</v>
      </c>
      <c r="D18" s="21">
        <f>VLOOKUP($A18,$L$3:$T$8,4,0)</f>
        <v>1</v>
      </c>
      <c r="E18" s="21">
        <f>VLOOKUP($A18,$L$3:$T$8,5,0)</f>
        <v>3</v>
      </c>
      <c r="F18" s="32">
        <f>VLOOKUP($A18,$L$3:$T$8,6,0)</f>
        <v>22</v>
      </c>
      <c r="G18" s="33">
        <f>VLOOKUP($A18,$L$3:$T$8,7,0)</f>
        <v>15</v>
      </c>
      <c r="H18" s="21">
        <f>VLOOKUP($A18,$L$3:$T$8,8,0)</f>
        <v>7</v>
      </c>
      <c r="I18" s="32">
        <f>VLOOKUP($A18,$L$3:$T$8,9,0)</f>
        <v>19</v>
      </c>
      <c r="J18" s="20">
        <f t="shared" si="1"/>
        <v>0</v>
      </c>
    </row>
    <row r="19" spans="1:10" x14ac:dyDescent="0.3">
      <c r="C19" s="21"/>
      <c r="D19" s="21"/>
      <c r="E19" s="21"/>
      <c r="F19" s="21"/>
      <c r="G19" s="21"/>
      <c r="H19" s="21"/>
      <c r="I19" s="21"/>
    </row>
    <row r="20" spans="1:10" x14ac:dyDescent="0.3">
      <c r="C20" s="21"/>
      <c r="D20" s="21"/>
      <c r="E20" s="21"/>
      <c r="F20" s="21"/>
      <c r="G20" s="21"/>
      <c r="H20" s="21"/>
      <c r="I20" s="21"/>
    </row>
    <row r="21" spans="1:10" x14ac:dyDescent="0.3">
      <c r="C21" s="21"/>
      <c r="D21" s="21"/>
      <c r="E21" s="21"/>
      <c r="F21" s="21"/>
      <c r="G21" s="21"/>
      <c r="H21" s="21"/>
      <c r="I21" s="21"/>
    </row>
    <row r="22" spans="1:10" x14ac:dyDescent="0.3">
      <c r="C22" s="21"/>
      <c r="D22" s="21"/>
      <c r="E22" s="21"/>
      <c r="F22" s="21"/>
      <c r="G22" s="21"/>
      <c r="H22" s="21"/>
      <c r="I22" s="21"/>
    </row>
    <row r="23" spans="1:10" x14ac:dyDescent="0.3">
      <c r="C23" s="21"/>
      <c r="D23" s="21"/>
      <c r="E23" s="21"/>
      <c r="F23" s="21"/>
      <c r="G23" s="21"/>
      <c r="H23" s="21"/>
      <c r="I23" s="21"/>
    </row>
    <row r="24" spans="1:10" x14ac:dyDescent="0.3">
      <c r="C24" s="21"/>
      <c r="D24" s="21"/>
      <c r="E24" s="21"/>
      <c r="F24" s="21"/>
      <c r="G24" s="21"/>
      <c r="H24" s="21"/>
      <c r="I24" s="21"/>
    </row>
    <row r="25" spans="1:10" x14ac:dyDescent="0.3">
      <c r="C25" s="21"/>
      <c r="D25" s="21"/>
      <c r="E25" s="21"/>
      <c r="F25" s="21"/>
      <c r="G25" s="21"/>
      <c r="H25" s="21"/>
      <c r="I25" s="21"/>
    </row>
    <row r="26" spans="1:10" x14ac:dyDescent="0.3">
      <c r="C26" s="21"/>
      <c r="D26" s="21"/>
      <c r="E26" s="21"/>
      <c r="F26" s="21"/>
      <c r="G26" s="21"/>
      <c r="H26" s="21"/>
      <c r="I26" s="21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K26"/>
  <sheetViews>
    <sheetView workbookViewId="0">
      <selection activeCell="A2" sqref="A2"/>
    </sheetView>
  </sheetViews>
  <sheetFormatPr defaultRowHeight="14.4" x14ac:dyDescent="0.3"/>
  <cols>
    <col min="2" max="2" width="4.44140625" customWidth="1"/>
    <col min="3" max="3" width="24.6640625" customWidth="1"/>
    <col min="4" max="11" width="5.6640625" customWidth="1"/>
  </cols>
  <sheetData>
    <row r="2" spans="2:11" ht="23.4" x14ac:dyDescent="0.3">
      <c r="B2" s="240" t="s">
        <v>95</v>
      </c>
      <c r="C2" s="240"/>
      <c r="D2" s="240"/>
      <c r="E2" s="240"/>
      <c r="F2" s="240"/>
      <c r="G2" s="240"/>
      <c r="H2" s="240"/>
      <c r="I2" s="240"/>
      <c r="J2" s="240"/>
      <c r="K2" s="240"/>
    </row>
    <row r="3" spans="2:11" ht="22.95" customHeight="1" x14ac:dyDescent="0.3">
      <c r="B3" s="120"/>
      <c r="C3" s="121" t="s">
        <v>35</v>
      </c>
      <c r="D3" s="121" t="s">
        <v>71</v>
      </c>
      <c r="E3" s="121" t="s">
        <v>52</v>
      </c>
      <c r="F3" s="121" t="s">
        <v>53</v>
      </c>
      <c r="G3" s="121" t="s">
        <v>54</v>
      </c>
      <c r="H3" s="121" t="s">
        <v>55</v>
      </c>
      <c r="I3" s="121" t="s">
        <v>56</v>
      </c>
      <c r="J3" s="122" t="s">
        <v>72</v>
      </c>
      <c r="K3" s="123" t="s">
        <v>73</v>
      </c>
    </row>
    <row r="4" spans="2:11" ht="20.399999999999999" customHeight="1" x14ac:dyDescent="0.3">
      <c r="B4" s="126">
        <v>1</v>
      </c>
      <c r="C4" s="55" t="str">
        <f>Table!C45</f>
        <v>Playaveli</v>
      </c>
      <c r="D4" s="55">
        <f>Table!D45</f>
        <v>10</v>
      </c>
      <c r="E4" s="55">
        <f>Table!E45</f>
        <v>9</v>
      </c>
      <c r="F4" s="55">
        <f>Table!F45</f>
        <v>1</v>
      </c>
      <c r="G4" s="55">
        <f>Table!G45</f>
        <v>0</v>
      </c>
      <c r="H4" s="55">
        <f>Table!H45</f>
        <v>30</v>
      </c>
      <c r="I4" s="55">
        <f>Table!I45</f>
        <v>6</v>
      </c>
      <c r="J4" s="55">
        <f>Table!J45</f>
        <v>24</v>
      </c>
      <c r="K4" s="55">
        <f>Table!K45</f>
        <v>28</v>
      </c>
    </row>
    <row r="5" spans="2:11" ht="20.399999999999999" customHeight="1" x14ac:dyDescent="0.3">
      <c r="B5" s="126">
        <v>2</v>
      </c>
      <c r="C5" s="55" t="str">
        <f>Table!C46</f>
        <v>Lobo</v>
      </c>
      <c r="D5" s="55">
        <f>Table!D46</f>
        <v>10</v>
      </c>
      <c r="E5" s="55">
        <f>Table!E46</f>
        <v>5</v>
      </c>
      <c r="F5" s="55">
        <f>Table!F46</f>
        <v>2</v>
      </c>
      <c r="G5" s="55">
        <f>Table!G46</f>
        <v>3</v>
      </c>
      <c r="H5" s="55">
        <f>Table!H46</f>
        <v>23</v>
      </c>
      <c r="I5" s="55">
        <f>Table!I46</f>
        <v>21</v>
      </c>
      <c r="J5" s="55">
        <f>Table!J46</f>
        <v>2</v>
      </c>
      <c r="K5" s="55">
        <f>Table!K46</f>
        <v>17</v>
      </c>
    </row>
    <row r="6" spans="2:11" ht="20.399999999999999" customHeight="1" x14ac:dyDescent="0.3">
      <c r="B6" s="126">
        <v>3</v>
      </c>
      <c r="C6" s="55" t="str">
        <f>Table!C47</f>
        <v>Bomb</v>
      </c>
      <c r="D6" s="55">
        <f>Table!D47</f>
        <v>10</v>
      </c>
      <c r="E6" s="55">
        <f>Table!E47</f>
        <v>2</v>
      </c>
      <c r="F6" s="55">
        <f>Table!F47</f>
        <v>6</v>
      </c>
      <c r="G6" s="55">
        <f>Table!G47</f>
        <v>2</v>
      </c>
      <c r="H6" s="55">
        <f>Table!H47</f>
        <v>14</v>
      </c>
      <c r="I6" s="55">
        <f>Table!I47</f>
        <v>12</v>
      </c>
      <c r="J6" s="55">
        <f>Table!J47</f>
        <v>2</v>
      </c>
      <c r="K6" s="55">
        <f>Table!K47</f>
        <v>12</v>
      </c>
    </row>
    <row r="7" spans="2:11" ht="20.399999999999999" customHeight="1" x14ac:dyDescent="0.3">
      <c r="B7" s="126">
        <v>4</v>
      </c>
      <c r="C7" s="55" t="str">
        <f>Table!C48</f>
        <v>DjowGer</v>
      </c>
      <c r="D7" s="55">
        <f>Table!D48</f>
        <v>10</v>
      </c>
      <c r="E7" s="55">
        <f>Table!E48</f>
        <v>3</v>
      </c>
      <c r="F7" s="55">
        <f>Table!F48</f>
        <v>1</v>
      </c>
      <c r="G7" s="55">
        <f>Table!G48</f>
        <v>6</v>
      </c>
      <c r="H7" s="55">
        <f>Table!H48</f>
        <v>14</v>
      </c>
      <c r="I7" s="55">
        <f>Table!I48</f>
        <v>28</v>
      </c>
      <c r="J7" s="55">
        <f>Table!J48</f>
        <v>-14</v>
      </c>
      <c r="K7" s="55">
        <f>Table!K48</f>
        <v>10</v>
      </c>
    </row>
    <row r="8" spans="2:11" ht="20.399999999999999" customHeight="1" x14ac:dyDescent="0.3">
      <c r="B8" s="126">
        <v>5</v>
      </c>
      <c r="C8" s="55" t="str">
        <f>Table!C49</f>
        <v>bobbiebobras</v>
      </c>
      <c r="D8" s="55">
        <f>Table!D49</f>
        <v>10</v>
      </c>
      <c r="E8" s="55">
        <f>Table!E49</f>
        <v>1</v>
      </c>
      <c r="F8" s="55">
        <f>Table!F49</f>
        <v>5</v>
      </c>
      <c r="G8" s="55">
        <f>Table!G49</f>
        <v>4</v>
      </c>
      <c r="H8" s="55">
        <f>Table!H49</f>
        <v>11</v>
      </c>
      <c r="I8" s="55">
        <f>Table!I49</f>
        <v>17</v>
      </c>
      <c r="J8" s="55">
        <f>Table!J49</f>
        <v>-6</v>
      </c>
      <c r="K8" s="55">
        <f>Table!K49</f>
        <v>8</v>
      </c>
    </row>
    <row r="9" spans="2:11" ht="20.399999999999999" customHeight="1" x14ac:dyDescent="0.3">
      <c r="B9" s="126">
        <v>6</v>
      </c>
      <c r="C9" s="55" t="str">
        <f>Table!C50</f>
        <v>AbelXavier</v>
      </c>
      <c r="D9" s="55">
        <f>Table!D50</f>
        <v>10</v>
      </c>
      <c r="E9" s="55">
        <f>Table!E50</f>
        <v>1</v>
      </c>
      <c r="F9" s="55">
        <f>Table!F50</f>
        <v>3</v>
      </c>
      <c r="G9" s="55">
        <f>Table!G50</f>
        <v>6</v>
      </c>
      <c r="H9" s="55">
        <f>Table!H50</f>
        <v>9</v>
      </c>
      <c r="I9" s="55">
        <f>Table!I50</f>
        <v>17</v>
      </c>
      <c r="J9" s="55">
        <f>Table!J50</f>
        <v>-8</v>
      </c>
      <c r="K9" s="55">
        <f>Table!K50</f>
        <v>6</v>
      </c>
    </row>
    <row r="10" spans="2:11" ht="20.399999999999999" customHeight="1" x14ac:dyDescent="0.3">
      <c r="B10" s="127">
        <v>7</v>
      </c>
      <c r="C10" s="51" t="str">
        <f>Table!N45</f>
        <v>Blazej</v>
      </c>
      <c r="D10" s="51">
        <f>Table!O45</f>
        <v>10</v>
      </c>
      <c r="E10" s="51">
        <f>Table!P45</f>
        <v>9</v>
      </c>
      <c r="F10" s="51">
        <f>Table!Q45</f>
        <v>1</v>
      </c>
      <c r="G10" s="51">
        <f>Table!R45</f>
        <v>0</v>
      </c>
      <c r="H10" s="51">
        <f>Table!S45</f>
        <v>24</v>
      </c>
      <c r="I10" s="51">
        <f>Table!T45</f>
        <v>7</v>
      </c>
      <c r="J10" s="51">
        <f>Table!U45</f>
        <v>17</v>
      </c>
      <c r="K10" s="51">
        <f>Table!V45</f>
        <v>28</v>
      </c>
    </row>
    <row r="11" spans="2:11" ht="20.399999999999999" customHeight="1" x14ac:dyDescent="0.3">
      <c r="B11" s="127">
        <v>8</v>
      </c>
      <c r="C11" s="51" t="str">
        <f>Table!N46</f>
        <v>Andib</v>
      </c>
      <c r="D11" s="51">
        <f>Table!O46</f>
        <v>10</v>
      </c>
      <c r="E11" s="51">
        <f>Table!P46</f>
        <v>6</v>
      </c>
      <c r="F11" s="51">
        <f>Table!Q46</f>
        <v>0</v>
      </c>
      <c r="G11" s="51">
        <f>Table!R46</f>
        <v>4</v>
      </c>
      <c r="H11" s="51">
        <f>Table!S46</f>
        <v>23</v>
      </c>
      <c r="I11" s="51">
        <f>Table!T46</f>
        <v>17</v>
      </c>
      <c r="J11" s="51">
        <f>Table!U46</f>
        <v>6</v>
      </c>
      <c r="K11" s="51">
        <f>Table!V46</f>
        <v>18</v>
      </c>
    </row>
    <row r="12" spans="2:11" ht="20.399999999999999" customHeight="1" x14ac:dyDescent="0.3">
      <c r="B12" s="127">
        <v>9</v>
      </c>
      <c r="C12" s="51" t="str">
        <f>Table!N47</f>
        <v>Hawkz</v>
      </c>
      <c r="D12" s="51">
        <f>Table!O47</f>
        <v>10</v>
      </c>
      <c r="E12" s="51">
        <f>Table!P47</f>
        <v>5</v>
      </c>
      <c r="F12" s="51">
        <f>Table!Q47</f>
        <v>2</v>
      </c>
      <c r="G12" s="51">
        <f>Table!R47</f>
        <v>3</v>
      </c>
      <c r="H12" s="51">
        <f>Table!S47</f>
        <v>17</v>
      </c>
      <c r="I12" s="51">
        <f>Table!T47</f>
        <v>16</v>
      </c>
      <c r="J12" s="51">
        <f>Table!U47</f>
        <v>1</v>
      </c>
      <c r="K12" s="51">
        <f>Table!V47</f>
        <v>17</v>
      </c>
    </row>
    <row r="13" spans="2:11" ht="20.399999999999999" customHeight="1" x14ac:dyDescent="0.3">
      <c r="B13" s="127">
        <v>10</v>
      </c>
      <c r="C13" s="51" t="str">
        <f>Table!N48</f>
        <v>ElMichaJ</v>
      </c>
      <c r="D13" s="51">
        <f>Table!O48</f>
        <v>10</v>
      </c>
      <c r="E13" s="51">
        <f>Table!P48</f>
        <v>5</v>
      </c>
      <c r="F13" s="51">
        <f>Table!Q48</f>
        <v>1</v>
      </c>
      <c r="G13" s="51">
        <f>Table!R48</f>
        <v>4</v>
      </c>
      <c r="H13" s="51">
        <f>Table!S48</f>
        <v>24</v>
      </c>
      <c r="I13" s="51">
        <f>Table!T48</f>
        <v>17</v>
      </c>
      <c r="J13" s="51">
        <f>Table!U48</f>
        <v>7</v>
      </c>
      <c r="K13" s="51">
        <f>Table!V48</f>
        <v>16</v>
      </c>
    </row>
    <row r="14" spans="2:11" ht="20.399999999999999" customHeight="1" x14ac:dyDescent="0.3">
      <c r="B14" s="127">
        <v>11</v>
      </c>
      <c r="C14" s="51" t="str">
        <f>Table!N49</f>
        <v>Klaris</v>
      </c>
      <c r="D14" s="51">
        <f>Table!O49</f>
        <v>10</v>
      </c>
      <c r="E14" s="51">
        <f>Table!P49</f>
        <v>1</v>
      </c>
      <c r="F14" s="51">
        <f>Table!Q49</f>
        <v>2</v>
      </c>
      <c r="G14" s="51">
        <f>Table!R49</f>
        <v>7</v>
      </c>
      <c r="H14" s="51">
        <f>Table!S49</f>
        <v>14</v>
      </c>
      <c r="I14" s="51">
        <f>Table!T49</f>
        <v>27</v>
      </c>
      <c r="J14" s="51">
        <f>Table!U49</f>
        <v>-13</v>
      </c>
      <c r="K14" s="51">
        <f>Table!V49</f>
        <v>5</v>
      </c>
    </row>
    <row r="15" spans="2:11" ht="20.399999999999999" customHeight="1" x14ac:dyDescent="0.3">
      <c r="B15" s="127">
        <v>12</v>
      </c>
      <c r="C15" s="51" t="str">
        <f>Table!N50</f>
        <v>Bromberg</v>
      </c>
      <c r="D15" s="51">
        <f>Table!O50</f>
        <v>10</v>
      </c>
      <c r="E15" s="51">
        <f>Table!P50</f>
        <v>0</v>
      </c>
      <c r="F15" s="51">
        <f>Table!Q50</f>
        <v>2</v>
      </c>
      <c r="G15" s="51">
        <f>Table!R50</f>
        <v>8</v>
      </c>
      <c r="H15" s="51">
        <f>Table!S50</f>
        <v>14</v>
      </c>
      <c r="I15" s="51">
        <f>Table!T50</f>
        <v>32</v>
      </c>
      <c r="J15" s="51">
        <f>Table!U50</f>
        <v>-18</v>
      </c>
      <c r="K15" s="51">
        <f>Table!V50</f>
        <v>2</v>
      </c>
    </row>
    <row r="16" spans="2:11" ht="20.399999999999999" customHeight="1" x14ac:dyDescent="0.3">
      <c r="B16" s="128">
        <v>13</v>
      </c>
      <c r="C16" s="129" t="str">
        <f>'2ndAB'!A15</f>
        <v>Foka</v>
      </c>
      <c r="D16" s="129">
        <f>'2ndAB'!B15</f>
        <v>10</v>
      </c>
      <c r="E16" s="129">
        <f>'2ndAB'!C15</f>
        <v>7</v>
      </c>
      <c r="F16" s="129">
        <f>'2ndAB'!D15</f>
        <v>1</v>
      </c>
      <c r="G16" s="129">
        <f>'2ndAB'!E15</f>
        <v>2</v>
      </c>
      <c r="H16" s="129">
        <f>'2ndAB'!F15</f>
        <v>39</v>
      </c>
      <c r="I16" s="129">
        <f>'2ndAB'!G15</f>
        <v>14</v>
      </c>
      <c r="J16" s="129">
        <f>'2ndAB'!H15</f>
        <v>25</v>
      </c>
      <c r="K16" s="129">
        <f>'2ndAB'!I15</f>
        <v>22</v>
      </c>
    </row>
    <row r="17" spans="2:11" ht="20.399999999999999" customHeight="1" x14ac:dyDescent="0.3">
      <c r="B17" s="128">
        <v>14</v>
      </c>
      <c r="C17" s="129" t="str">
        <f>'2ndAB'!A16</f>
        <v>Sanek</v>
      </c>
      <c r="D17" s="129">
        <f>'2ndAB'!B16</f>
        <v>10</v>
      </c>
      <c r="E17" s="129">
        <f>'2ndAB'!C16</f>
        <v>7</v>
      </c>
      <c r="F17" s="129">
        <f>'2ndAB'!D16</f>
        <v>1</v>
      </c>
      <c r="G17" s="129">
        <f>'2ndAB'!E16</f>
        <v>2</v>
      </c>
      <c r="H17" s="129">
        <f>'2ndAB'!F16</f>
        <v>27</v>
      </c>
      <c r="I17" s="129">
        <f>'2ndAB'!G16</f>
        <v>12</v>
      </c>
      <c r="J17" s="129">
        <f>'2ndAB'!H16</f>
        <v>15</v>
      </c>
      <c r="K17" s="129">
        <f>'2ndAB'!I16</f>
        <v>22</v>
      </c>
    </row>
    <row r="18" spans="2:11" ht="20.399999999999999" customHeight="1" x14ac:dyDescent="0.3">
      <c r="B18" s="128">
        <v>15</v>
      </c>
      <c r="C18" s="129" t="str">
        <f>'2ndAB'!A17</f>
        <v>AndYpsilon</v>
      </c>
      <c r="D18" s="129">
        <f>'2ndAB'!B17</f>
        <v>10</v>
      </c>
      <c r="E18" s="129">
        <f>'2ndAB'!C17</f>
        <v>7</v>
      </c>
      <c r="F18" s="129">
        <f>'2ndAB'!D17</f>
        <v>0</v>
      </c>
      <c r="G18" s="129">
        <f>'2ndAB'!E17</f>
        <v>3</v>
      </c>
      <c r="H18" s="129">
        <f>'2ndAB'!F17</f>
        <v>30</v>
      </c>
      <c r="I18" s="129">
        <f>'2ndAB'!G17</f>
        <v>11</v>
      </c>
      <c r="J18" s="129">
        <f>'2ndAB'!H17</f>
        <v>19</v>
      </c>
      <c r="K18" s="129">
        <f>'2ndAB'!I17</f>
        <v>21</v>
      </c>
    </row>
    <row r="19" spans="2:11" ht="20.399999999999999" customHeight="1" x14ac:dyDescent="0.3">
      <c r="B19" s="128">
        <v>16</v>
      </c>
      <c r="C19" s="129" t="str">
        <f>'2ndAB'!A18</f>
        <v>Cinek</v>
      </c>
      <c r="D19" s="129">
        <f>'2ndAB'!B18</f>
        <v>10</v>
      </c>
      <c r="E19" s="129">
        <f>'2ndAB'!C18</f>
        <v>6</v>
      </c>
      <c r="F19" s="129">
        <f>'2ndAB'!D18</f>
        <v>1</v>
      </c>
      <c r="G19" s="129">
        <f>'2ndAB'!E18</f>
        <v>3</v>
      </c>
      <c r="H19" s="129">
        <f>'2ndAB'!F18</f>
        <v>22</v>
      </c>
      <c r="I19" s="129">
        <f>'2ndAB'!G18</f>
        <v>15</v>
      </c>
      <c r="J19" s="129">
        <f>'2ndAB'!H18</f>
        <v>7</v>
      </c>
      <c r="K19" s="129">
        <f>'2ndAB'!I18</f>
        <v>19</v>
      </c>
    </row>
    <row r="20" spans="2:11" ht="20.399999999999999" customHeight="1" x14ac:dyDescent="0.3"/>
    <row r="21" spans="2:11" ht="20.399999999999999" customHeight="1" x14ac:dyDescent="0.3"/>
    <row r="22" spans="2:11" ht="20.399999999999999" customHeight="1" x14ac:dyDescent="0.3"/>
    <row r="23" spans="2:11" ht="20.399999999999999" customHeight="1" x14ac:dyDescent="0.3"/>
    <row r="24" spans="2:11" ht="20.399999999999999" customHeight="1" x14ac:dyDescent="0.3"/>
    <row r="25" spans="2:11" ht="20.399999999999999" customHeight="1" x14ac:dyDescent="0.3"/>
    <row r="26" spans="2:11" ht="20.399999999999999" customHeight="1" x14ac:dyDescent="0.3"/>
  </sheetData>
  <mergeCells count="1">
    <mergeCell ref="B2:K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workbookViewId="0"/>
  </sheetViews>
  <sheetFormatPr defaultColWidth="8.88671875" defaultRowHeight="14.4" x14ac:dyDescent="0.3"/>
  <cols>
    <col min="1" max="1" width="9.33203125" style="168" customWidth="1"/>
    <col min="2" max="2" width="20.6640625" style="168" customWidth="1"/>
    <col min="3" max="3" width="3" style="168" customWidth="1"/>
    <col min="4" max="4" width="20.6640625" style="168" customWidth="1"/>
    <col min="5" max="5" width="5.6640625" style="168" customWidth="1"/>
    <col min="6" max="6" width="2.6640625" style="168" customWidth="1"/>
    <col min="7" max="7" width="5.6640625" style="168" customWidth="1"/>
    <col min="8" max="8" width="5.88671875" style="168" customWidth="1"/>
    <col min="9" max="9" width="9.33203125" style="168" customWidth="1"/>
    <col min="10" max="10" width="20.6640625" style="168" customWidth="1"/>
    <col min="11" max="11" width="3" style="168" customWidth="1"/>
    <col min="12" max="12" width="20.6640625" style="168" customWidth="1"/>
    <col min="13" max="13" width="5.6640625" style="168" customWidth="1"/>
    <col min="14" max="14" width="2.6640625" style="168" customWidth="1"/>
    <col min="15" max="15" width="5.6640625" style="168" customWidth="1"/>
    <col min="16" max="16384" width="8.88671875" style="168"/>
  </cols>
  <sheetData>
    <row r="1" spans="1:15" ht="19.5" customHeight="1" thickBot="1" x14ac:dyDescent="0.35">
      <c r="B1" s="241" t="s">
        <v>36</v>
      </c>
      <c r="C1" s="242"/>
      <c r="D1" s="243"/>
      <c r="E1" s="169"/>
      <c r="F1" s="169"/>
      <c r="G1" s="169"/>
      <c r="H1" s="169"/>
      <c r="I1" s="169"/>
      <c r="J1" s="244" t="s">
        <v>36</v>
      </c>
      <c r="K1" s="245"/>
      <c r="L1" s="246"/>
    </row>
    <row r="2" spans="1:15" ht="19.5" customHeight="1" thickBot="1" x14ac:dyDescent="0.35">
      <c r="A2" s="170"/>
      <c r="B2" s="251" t="str">
        <f>'Gr. A+'!E8</f>
        <v>DjowGer</v>
      </c>
      <c r="C2" s="252"/>
      <c r="D2" s="253"/>
      <c r="E2" s="247" t="str">
        <f>IFERROR('Gr. A+'!D2,"-")</f>
        <v>GROUP A</v>
      </c>
      <c r="F2" s="248"/>
      <c r="G2" s="248"/>
      <c r="H2" s="248"/>
      <c r="I2" s="249"/>
      <c r="J2" s="251" t="str">
        <f>'Gr. A+'!E12</f>
        <v>FC Sandkagen</v>
      </c>
      <c r="K2" s="252"/>
      <c r="L2" s="253"/>
    </row>
    <row r="3" spans="1:15" ht="19.5" customHeight="1" thickBot="1" x14ac:dyDescent="0.35">
      <c r="A3" s="170"/>
      <c r="B3" s="251" t="str">
        <f>'Gr. A+'!E9</f>
        <v>Sanek</v>
      </c>
      <c r="C3" s="252"/>
      <c r="D3" s="253"/>
      <c r="E3" s="247"/>
      <c r="F3" s="248"/>
      <c r="G3" s="248"/>
      <c r="H3" s="248"/>
      <c r="I3" s="249"/>
      <c r="J3" s="251" t="str">
        <f>'Gr. A+'!E13</f>
        <v>Tobby</v>
      </c>
      <c r="K3" s="252"/>
      <c r="L3" s="253"/>
    </row>
    <row r="4" spans="1:15" ht="19.5" customHeight="1" thickBot="1" x14ac:dyDescent="0.35">
      <c r="A4" s="170"/>
      <c r="B4" s="251" t="str">
        <f>'Gr. A+'!E10</f>
        <v>Schulle</v>
      </c>
      <c r="C4" s="252"/>
      <c r="D4" s="253"/>
      <c r="E4" s="170"/>
      <c r="F4" s="170"/>
      <c r="G4" s="170"/>
      <c r="H4" s="170"/>
      <c r="I4" s="170"/>
      <c r="J4" s="251" t="str">
        <f>'Gr. A+'!E14</f>
        <v>Cheval</v>
      </c>
      <c r="K4" s="252"/>
      <c r="L4" s="253"/>
    </row>
    <row r="5" spans="1:15" ht="19.5" customHeight="1" thickBot="1" x14ac:dyDescent="0.35">
      <c r="A5" s="172"/>
      <c r="B5" s="251" t="str">
        <f>'Gr. A+'!E11</f>
        <v>Bromberg</v>
      </c>
      <c r="C5" s="252"/>
      <c r="D5" s="253"/>
      <c r="E5" s="173"/>
      <c r="F5" s="173"/>
      <c r="G5" s="173"/>
      <c r="H5" s="173"/>
      <c r="I5" s="172"/>
    </row>
    <row r="6" spans="1:15" ht="19.5" customHeight="1" thickBot="1" x14ac:dyDescent="0.5">
      <c r="A6" s="174"/>
      <c r="B6" s="174"/>
      <c r="C6" s="174"/>
      <c r="D6" s="174"/>
      <c r="E6" s="175"/>
    </row>
    <row r="7" spans="1:15" ht="16.2" thickBot="1" x14ac:dyDescent="0.35">
      <c r="A7" s="213" t="s">
        <v>18</v>
      </c>
      <c r="B7" s="213" t="s">
        <v>15</v>
      </c>
      <c r="C7" s="213"/>
      <c r="D7" s="213" t="s">
        <v>16</v>
      </c>
      <c r="E7" s="250" t="s">
        <v>17</v>
      </c>
      <c r="F7" s="250"/>
      <c r="G7" s="250"/>
      <c r="H7" s="169"/>
      <c r="I7" s="213" t="s">
        <v>18</v>
      </c>
      <c r="J7" s="213" t="s">
        <v>15</v>
      </c>
      <c r="K7" s="213"/>
      <c r="L7" s="213" t="s">
        <v>16</v>
      </c>
      <c r="M7" s="250" t="s">
        <v>17</v>
      </c>
      <c r="N7" s="250"/>
      <c r="O7" s="250"/>
    </row>
    <row r="8" spans="1:15" ht="13.95" customHeight="1" thickBot="1" x14ac:dyDescent="0.35">
      <c r="A8" s="176" t="s">
        <v>0</v>
      </c>
      <c r="B8" s="176" t="str">
        <f>IFERROR(VLOOKUP('Gr. A+'!C17,'Gr. A+'!$D$8:$E$14,2,0),"-")</f>
        <v>DjowGer</v>
      </c>
      <c r="C8" s="171" t="s">
        <v>19</v>
      </c>
      <c r="D8" s="176" t="str">
        <f>IFERROR(VLOOKUP('Gr. A+'!E17,'Gr. A+'!$D$8:$E$14,2,0),"-")</f>
        <v>Sanek</v>
      </c>
      <c r="E8" s="176">
        <v>4</v>
      </c>
      <c r="F8" s="171" t="s">
        <v>19</v>
      </c>
      <c r="G8" s="176">
        <v>1</v>
      </c>
      <c r="H8" s="170"/>
      <c r="I8" s="176" t="s">
        <v>26</v>
      </c>
      <c r="J8" s="176" t="str">
        <f>IFERROR(VLOOKUP('Gr. A+'!H17,'Gr. A+'!$D$8:$E$14,2,0),"-")</f>
        <v>Sanek</v>
      </c>
      <c r="K8" s="171" t="s">
        <v>19</v>
      </c>
      <c r="L8" s="176" t="str">
        <f>IFERROR(VLOOKUP('Gr. A+'!J17,'Gr. A+'!$D$8:$E$14,2,0),"-")</f>
        <v>DjowGer</v>
      </c>
      <c r="M8" s="176">
        <v>2</v>
      </c>
      <c r="N8" s="171" t="s">
        <v>19</v>
      </c>
      <c r="O8" s="176">
        <v>2</v>
      </c>
    </row>
    <row r="9" spans="1:15" ht="13.95" customHeight="1" thickBot="1" x14ac:dyDescent="0.35">
      <c r="A9" s="176" t="s">
        <v>1</v>
      </c>
      <c r="B9" s="176" t="str">
        <f>IFERROR(VLOOKUP('Gr. A+'!C18,'Gr. A+'!$D$8:$E$14,2,0),"-")</f>
        <v>DjowGer</v>
      </c>
      <c r="C9" s="171" t="s">
        <v>19</v>
      </c>
      <c r="D9" s="176" t="str">
        <f>IFERROR(VLOOKUP('Gr. A+'!E18,'Gr. A+'!$D$8:$E$14,2,0),"-")</f>
        <v>Schulle</v>
      </c>
      <c r="E9" s="176">
        <v>5</v>
      </c>
      <c r="F9" s="171" t="s">
        <v>19</v>
      </c>
      <c r="G9" s="176">
        <v>0</v>
      </c>
      <c r="H9" s="170"/>
      <c r="I9" s="176" t="s">
        <v>27</v>
      </c>
      <c r="J9" s="176" t="str">
        <f>IFERROR(VLOOKUP('Gr. A+'!H18,'Gr. A+'!$D$8:$E$14,2,0),"-")</f>
        <v>Schulle</v>
      </c>
      <c r="K9" s="171" t="s">
        <v>19</v>
      </c>
      <c r="L9" s="176" t="str">
        <f>IFERROR(VLOOKUP('Gr. A+'!J18,'Gr. A+'!$D$8:$E$14,2,0),"-")</f>
        <v>DjowGer</v>
      </c>
      <c r="M9" s="176">
        <v>1</v>
      </c>
      <c r="N9" s="171" t="s">
        <v>19</v>
      </c>
      <c r="O9" s="176">
        <v>6</v>
      </c>
    </row>
    <row r="10" spans="1:15" ht="13.95" customHeight="1" thickBot="1" x14ac:dyDescent="0.35">
      <c r="A10" s="176" t="s">
        <v>2</v>
      </c>
      <c r="B10" s="176" t="str">
        <f>IFERROR(VLOOKUP('Gr. A+'!C19,'Gr. A+'!$D$8:$E$14,2,0),"-")</f>
        <v>DjowGer</v>
      </c>
      <c r="C10" s="171" t="s">
        <v>19</v>
      </c>
      <c r="D10" s="176" t="str">
        <f>IFERROR(VLOOKUP('Gr. A+'!E19,'Gr. A+'!$D$8:$E$14,2,0),"-")</f>
        <v>Bromberg</v>
      </c>
      <c r="E10" s="176">
        <v>4</v>
      </c>
      <c r="F10" s="171" t="s">
        <v>19</v>
      </c>
      <c r="G10" s="176">
        <v>2</v>
      </c>
      <c r="H10" s="170"/>
      <c r="I10" s="176" t="s">
        <v>28</v>
      </c>
      <c r="J10" s="176" t="str">
        <f>IFERROR(VLOOKUP('Gr. A+'!H19,'Gr. A+'!$D$8:$E$14,2,0),"-")</f>
        <v>Bromberg</v>
      </c>
      <c r="K10" s="171" t="s">
        <v>19</v>
      </c>
      <c r="L10" s="176" t="str">
        <f>IFERROR(VLOOKUP('Gr. A+'!J19,'Gr. A+'!$D$8:$E$14,2,0),"-")</f>
        <v>DjowGer</v>
      </c>
      <c r="M10" s="176">
        <v>0</v>
      </c>
      <c r="N10" s="171" t="s">
        <v>19</v>
      </c>
      <c r="O10" s="176">
        <v>1</v>
      </c>
    </row>
    <row r="11" spans="1:15" ht="13.95" customHeight="1" thickBot="1" x14ac:dyDescent="0.35">
      <c r="A11" s="176" t="s">
        <v>3</v>
      </c>
      <c r="B11" s="176" t="str">
        <f>IFERROR(VLOOKUP('Gr. A+'!C20,'Gr. A+'!$D$8:$E$14,2,0),"-")</f>
        <v>DjowGer</v>
      </c>
      <c r="C11" s="171" t="s">
        <v>19</v>
      </c>
      <c r="D11" s="176" t="str">
        <f>IFERROR(VLOOKUP('Gr. A+'!E20,'Gr. A+'!$D$8:$E$14,2,0),"-")</f>
        <v>FC Sandkagen</v>
      </c>
      <c r="E11" s="176">
        <v>7</v>
      </c>
      <c r="F11" s="171" t="s">
        <v>19</v>
      </c>
      <c r="G11" s="176">
        <v>0</v>
      </c>
      <c r="H11" s="170"/>
      <c r="I11" s="176" t="s">
        <v>29</v>
      </c>
      <c r="J11" s="176" t="str">
        <f>IFERROR(VLOOKUP('Gr. A+'!H20,'Gr. A+'!$D$8:$E$14,2,0),"-")</f>
        <v>FC Sandkagen</v>
      </c>
      <c r="K11" s="171" t="s">
        <v>19</v>
      </c>
      <c r="L11" s="176" t="str">
        <f>IFERROR(VLOOKUP('Gr. A+'!J20,'Gr. A+'!$D$8:$E$14,2,0),"-")</f>
        <v>DjowGer</v>
      </c>
      <c r="M11" s="176">
        <v>0</v>
      </c>
      <c r="N11" s="171" t="s">
        <v>19</v>
      </c>
      <c r="O11" s="176">
        <v>9</v>
      </c>
    </row>
    <row r="12" spans="1:15" ht="13.95" customHeight="1" thickBot="1" x14ac:dyDescent="0.35">
      <c r="A12" s="176" t="s">
        <v>4</v>
      </c>
      <c r="B12" s="176" t="str">
        <f>IFERROR(VLOOKUP('Gr. A+'!C21,'Gr. A+'!$D$8:$E$14,2,0),"-")</f>
        <v>DjowGer</v>
      </c>
      <c r="C12" s="171" t="s">
        <v>19</v>
      </c>
      <c r="D12" s="176" t="str">
        <f>IFERROR(VLOOKUP('Gr. A+'!E21,'Gr. A+'!$D$8:$E$14,2,0),"-")</f>
        <v>Tobby</v>
      </c>
      <c r="E12" s="176">
        <v>9</v>
      </c>
      <c r="F12" s="171" t="s">
        <v>19</v>
      </c>
      <c r="G12" s="176">
        <v>0</v>
      </c>
      <c r="H12" s="170"/>
      <c r="I12" s="176" t="s">
        <v>30</v>
      </c>
      <c r="J12" s="176" t="str">
        <f>IFERROR(VLOOKUP('Gr. A+'!H21,'Gr. A+'!$D$8:$E$14,2,0),"-")</f>
        <v>Tobby</v>
      </c>
      <c r="K12" s="171" t="s">
        <v>19</v>
      </c>
      <c r="L12" s="176" t="str">
        <f>IFERROR(VLOOKUP('Gr. A+'!J21,'Gr. A+'!$D$8:$E$14,2,0),"-")</f>
        <v>DjowGer</v>
      </c>
      <c r="M12" s="176">
        <v>1</v>
      </c>
      <c r="N12" s="171" t="s">
        <v>19</v>
      </c>
      <c r="O12" s="176">
        <v>4</v>
      </c>
    </row>
    <row r="13" spans="1:15" ht="13.95" customHeight="1" thickBot="1" x14ac:dyDescent="0.35">
      <c r="A13" s="176" t="s">
        <v>5</v>
      </c>
      <c r="B13" s="176" t="str">
        <f>IFERROR(VLOOKUP('Gr. A+'!C22,'Gr. A+'!$D$8:$E$14,2,0),"-")</f>
        <v>DjowGer</v>
      </c>
      <c r="C13" s="171" t="s">
        <v>19</v>
      </c>
      <c r="D13" s="176" t="str">
        <f>IFERROR(VLOOKUP('Gr. A+'!E22,'Gr. A+'!$D$8:$E$14,2,0),"-")</f>
        <v>Cheval</v>
      </c>
      <c r="E13" s="176">
        <v>6</v>
      </c>
      <c r="F13" s="171" t="s">
        <v>19</v>
      </c>
      <c r="G13" s="176">
        <v>0</v>
      </c>
      <c r="H13" s="170"/>
      <c r="I13" s="176" t="s">
        <v>31</v>
      </c>
      <c r="J13" s="176" t="str">
        <f>IFERROR(VLOOKUP('Gr. A+'!H22,'Gr. A+'!$D$8:$E$14,2,0),"-")</f>
        <v>Cheval</v>
      </c>
      <c r="K13" s="171" t="s">
        <v>19</v>
      </c>
      <c r="L13" s="176" t="str">
        <f>IFERROR(VLOOKUP('Gr. A+'!J22,'Gr. A+'!$D$8:$E$14,2,0),"-")</f>
        <v>DjowGer</v>
      </c>
      <c r="M13" s="176">
        <v>0</v>
      </c>
      <c r="N13" s="171" t="s">
        <v>19</v>
      </c>
      <c r="O13" s="176">
        <v>8</v>
      </c>
    </row>
    <row r="14" spans="1:15" ht="13.95" customHeight="1" thickBot="1" x14ac:dyDescent="0.35">
      <c r="A14" s="176" t="s">
        <v>6</v>
      </c>
      <c r="B14" s="176" t="str">
        <f>IFERROR(VLOOKUP('Gr. A+'!C23,'Gr. A+'!$D$8:$E$14,2,0),"-")</f>
        <v>Sanek</v>
      </c>
      <c r="C14" s="171" t="s">
        <v>19</v>
      </c>
      <c r="D14" s="176" t="str">
        <f>IFERROR(VLOOKUP('Gr. A+'!E23,'Gr. A+'!$D$8:$E$14,2,0),"-")</f>
        <v>Schulle</v>
      </c>
      <c r="E14" s="176">
        <v>3</v>
      </c>
      <c r="F14" s="171" t="s">
        <v>19</v>
      </c>
      <c r="G14" s="176">
        <v>3</v>
      </c>
      <c r="H14" s="170"/>
      <c r="I14" s="176" t="s">
        <v>32</v>
      </c>
      <c r="J14" s="176" t="str">
        <f>IFERROR(VLOOKUP('Gr. A+'!H23,'Gr. A+'!$D$8:$E$14,2,0),"-")</f>
        <v>Schulle</v>
      </c>
      <c r="K14" s="171" t="s">
        <v>19</v>
      </c>
      <c r="L14" s="176" t="str">
        <f>IFERROR(VLOOKUP('Gr. A+'!J23,'Gr. A+'!$D$8:$E$14,2,0),"-")</f>
        <v>Sanek</v>
      </c>
      <c r="M14" s="176">
        <v>0</v>
      </c>
      <c r="N14" s="171" t="s">
        <v>19</v>
      </c>
      <c r="O14" s="176">
        <v>1</v>
      </c>
    </row>
    <row r="15" spans="1:15" ht="13.95" customHeight="1" thickBot="1" x14ac:dyDescent="0.35">
      <c r="A15" s="176" t="s">
        <v>7</v>
      </c>
      <c r="B15" s="176" t="str">
        <f>IFERROR(VLOOKUP('Gr. A+'!C24,'Gr. A+'!$D$8:$E$14,2,0),"-")</f>
        <v>Sanek</v>
      </c>
      <c r="C15" s="171" t="s">
        <v>19</v>
      </c>
      <c r="D15" s="176" t="str">
        <f>IFERROR(VLOOKUP('Gr. A+'!E24,'Gr. A+'!$D$8:$E$14,2,0),"-")</f>
        <v>Bromberg</v>
      </c>
      <c r="E15" s="176">
        <v>0</v>
      </c>
      <c r="F15" s="171" t="s">
        <v>19</v>
      </c>
      <c r="G15" s="176">
        <v>0</v>
      </c>
      <c r="H15" s="170"/>
      <c r="I15" s="176" t="s">
        <v>33</v>
      </c>
      <c r="J15" s="176" t="str">
        <f>IFERROR(VLOOKUP('Gr. A+'!H24,'Gr. A+'!$D$8:$E$14,2,0),"-")</f>
        <v>Bromberg</v>
      </c>
      <c r="K15" s="171" t="s">
        <v>19</v>
      </c>
      <c r="L15" s="176" t="str">
        <f>IFERROR(VLOOKUP('Gr. A+'!J24,'Gr. A+'!$D$8:$E$14,2,0),"-")</f>
        <v>Sanek</v>
      </c>
      <c r="M15" s="176">
        <v>3</v>
      </c>
      <c r="N15" s="171" t="s">
        <v>19</v>
      </c>
      <c r="O15" s="176">
        <v>1</v>
      </c>
    </row>
    <row r="16" spans="1:15" ht="13.95" customHeight="1" thickBot="1" x14ac:dyDescent="0.35">
      <c r="A16" s="176" t="s">
        <v>8</v>
      </c>
      <c r="B16" s="176" t="str">
        <f>IFERROR(VLOOKUP('Gr. A+'!C25,'Gr. A+'!$D$8:$E$14,2,0),"-")</f>
        <v>Sanek</v>
      </c>
      <c r="C16" s="171" t="s">
        <v>19</v>
      </c>
      <c r="D16" s="176" t="str">
        <f>IFERROR(VLOOKUP('Gr. A+'!E25,'Gr. A+'!$D$8:$E$14,2,0),"-")</f>
        <v>FC Sandkagen</v>
      </c>
      <c r="E16" s="176">
        <v>2</v>
      </c>
      <c r="F16" s="171" t="s">
        <v>19</v>
      </c>
      <c r="G16" s="176">
        <v>0</v>
      </c>
      <c r="H16" s="170"/>
      <c r="I16" s="176" t="s">
        <v>34</v>
      </c>
      <c r="J16" s="176" t="str">
        <f>IFERROR(VLOOKUP('Gr. A+'!H25,'Gr. A+'!$D$8:$E$14,2,0),"-")</f>
        <v>FC Sandkagen</v>
      </c>
      <c r="K16" s="171" t="s">
        <v>19</v>
      </c>
      <c r="L16" s="176" t="str">
        <f>IFERROR(VLOOKUP('Gr. A+'!J25,'Gr. A+'!$D$8:$E$14,2,0),"-")</f>
        <v>Sanek</v>
      </c>
      <c r="M16" s="176">
        <v>0</v>
      </c>
      <c r="N16" s="171" t="s">
        <v>19</v>
      </c>
      <c r="O16" s="176">
        <v>3</v>
      </c>
    </row>
    <row r="17" spans="1:15" ht="13.95" customHeight="1" thickBot="1" x14ac:dyDescent="0.35">
      <c r="A17" s="176" t="s">
        <v>9</v>
      </c>
      <c r="B17" s="176" t="str">
        <f>IFERROR(VLOOKUP('Gr. A+'!C26,'Gr. A+'!$D$8:$E$14,2,0),"-")</f>
        <v>Sanek</v>
      </c>
      <c r="C17" s="171" t="s">
        <v>19</v>
      </c>
      <c r="D17" s="176" t="str">
        <f>IFERROR(VLOOKUP('Gr. A+'!E26,'Gr. A+'!$D$8:$E$14,2,0),"-")</f>
        <v>Tobby</v>
      </c>
      <c r="E17" s="176">
        <v>2</v>
      </c>
      <c r="F17" s="171" t="s">
        <v>19</v>
      </c>
      <c r="G17" s="176">
        <v>1</v>
      </c>
      <c r="H17" s="170"/>
      <c r="I17" s="176" t="s">
        <v>37</v>
      </c>
      <c r="J17" s="176" t="str">
        <f>IFERROR(VLOOKUP('Gr. A+'!H26,'Gr. A+'!$D$8:$E$14,2,0),"-")</f>
        <v>Tobby</v>
      </c>
      <c r="K17" s="171" t="s">
        <v>19</v>
      </c>
      <c r="L17" s="176" t="str">
        <f>IFERROR(VLOOKUP('Gr. A+'!J26,'Gr. A+'!$D$8:$E$14,2,0),"-")</f>
        <v>Sanek</v>
      </c>
      <c r="M17" s="176">
        <v>2</v>
      </c>
      <c r="N17" s="171" t="s">
        <v>19</v>
      </c>
      <c r="O17" s="176">
        <v>4</v>
      </c>
    </row>
    <row r="18" spans="1:15" ht="13.95" customHeight="1" thickBot="1" x14ac:dyDescent="0.35">
      <c r="A18" s="176" t="s">
        <v>10</v>
      </c>
      <c r="B18" s="176" t="str">
        <f>IFERROR(VLOOKUP('Gr. A+'!C27,'Gr. A+'!$D$8:$E$14,2,0),"-")</f>
        <v>Sanek</v>
      </c>
      <c r="C18" s="171" t="s">
        <v>19</v>
      </c>
      <c r="D18" s="176" t="str">
        <f>IFERROR(VLOOKUP('Gr. A+'!E27,'Gr. A+'!$D$8:$E$14,2,0),"-")</f>
        <v>Cheval</v>
      </c>
      <c r="E18" s="176">
        <v>4</v>
      </c>
      <c r="F18" s="171" t="s">
        <v>19</v>
      </c>
      <c r="G18" s="176">
        <v>2</v>
      </c>
      <c r="H18" s="170"/>
      <c r="I18" s="176" t="s">
        <v>38</v>
      </c>
      <c r="J18" s="176" t="str">
        <f>IFERROR(VLOOKUP('Gr. A+'!H27,'Gr. A+'!$D$8:$E$14,2,0),"-")</f>
        <v>Cheval</v>
      </c>
      <c r="K18" s="171" t="s">
        <v>19</v>
      </c>
      <c r="L18" s="176" t="str">
        <f>IFERROR(VLOOKUP('Gr. A+'!J27,'Gr. A+'!$D$8:$E$14,2,0),"-")</f>
        <v>Sanek</v>
      </c>
      <c r="M18" s="176">
        <v>1</v>
      </c>
      <c r="N18" s="171" t="s">
        <v>19</v>
      </c>
      <c r="O18" s="176">
        <v>3</v>
      </c>
    </row>
    <row r="19" spans="1:15" ht="13.95" customHeight="1" thickBot="1" x14ac:dyDescent="0.35">
      <c r="A19" s="176" t="s">
        <v>11</v>
      </c>
      <c r="B19" s="176" t="str">
        <f>IFERROR(VLOOKUP('Gr. A+'!C28,'Gr. A+'!$D$8:$E$14,2,0),"-")</f>
        <v>Schulle</v>
      </c>
      <c r="C19" s="171" t="s">
        <v>19</v>
      </c>
      <c r="D19" s="176" t="str">
        <f>IFERROR(VLOOKUP('Gr. A+'!E28,'Gr. A+'!$D$8:$E$14,2,0),"-")</f>
        <v>Bromberg</v>
      </c>
      <c r="E19" s="176">
        <v>2</v>
      </c>
      <c r="F19" s="171" t="s">
        <v>19</v>
      </c>
      <c r="G19" s="176">
        <v>4</v>
      </c>
      <c r="H19" s="170"/>
      <c r="I19" s="176" t="s">
        <v>39</v>
      </c>
      <c r="J19" s="176" t="str">
        <f>IFERROR(VLOOKUP('Gr. A+'!H28,'Gr. A+'!$D$8:$E$14,2,0),"-")</f>
        <v>Bromberg</v>
      </c>
      <c r="K19" s="171" t="s">
        <v>19</v>
      </c>
      <c r="L19" s="176" t="str">
        <f>IFERROR(VLOOKUP('Gr. A+'!J28,'Gr. A+'!$D$8:$E$14,2,0),"-")</f>
        <v>Schulle</v>
      </c>
      <c r="M19" s="176">
        <v>5</v>
      </c>
      <c r="N19" s="171" t="s">
        <v>19</v>
      </c>
      <c r="O19" s="176">
        <v>1</v>
      </c>
    </row>
    <row r="20" spans="1:15" ht="13.95" customHeight="1" thickBot="1" x14ac:dyDescent="0.35">
      <c r="A20" s="176" t="s">
        <v>12</v>
      </c>
      <c r="B20" s="176" t="str">
        <f>IFERROR(VLOOKUP('Gr. A+'!C29,'Gr. A+'!$D$8:$E$14,2,0),"-")</f>
        <v>Schulle</v>
      </c>
      <c r="C20" s="171" t="s">
        <v>19</v>
      </c>
      <c r="D20" s="176" t="str">
        <f>IFERROR(VLOOKUP('Gr. A+'!E29,'Gr. A+'!$D$8:$E$14,2,0),"-")</f>
        <v>FC Sandkagen</v>
      </c>
      <c r="E20" s="176">
        <v>4</v>
      </c>
      <c r="F20" s="171" t="s">
        <v>19</v>
      </c>
      <c r="G20" s="176">
        <v>1</v>
      </c>
      <c r="H20" s="170"/>
      <c r="I20" s="176" t="s">
        <v>40</v>
      </c>
      <c r="J20" s="176" t="str">
        <f>IFERROR(VLOOKUP('Gr. A+'!H29,'Gr. A+'!$D$8:$E$14,2,0),"-")</f>
        <v>FC Sandkagen</v>
      </c>
      <c r="K20" s="171" t="s">
        <v>19</v>
      </c>
      <c r="L20" s="176" t="str">
        <f>IFERROR(VLOOKUP('Gr. A+'!J29,'Gr. A+'!$D$8:$E$14,2,0),"-")</f>
        <v>Schulle</v>
      </c>
      <c r="M20" s="176">
        <v>0</v>
      </c>
      <c r="N20" s="171" t="s">
        <v>19</v>
      </c>
      <c r="O20" s="176">
        <v>5</v>
      </c>
    </row>
    <row r="21" spans="1:15" ht="13.95" customHeight="1" thickBot="1" x14ac:dyDescent="0.35">
      <c r="A21" s="176" t="s">
        <v>13</v>
      </c>
      <c r="B21" s="176" t="str">
        <f>IFERROR(VLOOKUP('Gr. A+'!C30,'Gr. A+'!$D$8:$E$14,2,0),"-")</f>
        <v>Schulle</v>
      </c>
      <c r="C21" s="171" t="s">
        <v>19</v>
      </c>
      <c r="D21" s="176" t="str">
        <f>IFERROR(VLOOKUP('Gr. A+'!E30,'Gr. A+'!$D$8:$E$14,2,0),"-")</f>
        <v>Tobby</v>
      </c>
      <c r="E21" s="176">
        <v>2</v>
      </c>
      <c r="F21" s="171" t="s">
        <v>19</v>
      </c>
      <c r="G21" s="176">
        <v>0</v>
      </c>
      <c r="H21" s="170"/>
      <c r="I21" s="176" t="s">
        <v>41</v>
      </c>
      <c r="J21" s="176" t="str">
        <f>IFERROR(VLOOKUP('Gr. A+'!H30,'Gr. A+'!$D$8:$E$14,2,0),"-")</f>
        <v>Tobby</v>
      </c>
      <c r="K21" s="171" t="s">
        <v>19</v>
      </c>
      <c r="L21" s="176" t="str">
        <f>IFERROR(VLOOKUP('Gr. A+'!J30,'Gr. A+'!$D$8:$E$14,2,0),"-")</f>
        <v>Schulle</v>
      </c>
      <c r="M21" s="176">
        <v>0</v>
      </c>
      <c r="N21" s="171" t="s">
        <v>19</v>
      </c>
      <c r="O21" s="176">
        <v>1</v>
      </c>
    </row>
    <row r="22" spans="1:15" ht="13.95" customHeight="1" thickBot="1" x14ac:dyDescent="0.35">
      <c r="A22" s="176" t="s">
        <v>14</v>
      </c>
      <c r="B22" s="176" t="str">
        <f>IFERROR(VLOOKUP('Gr. A+'!C31,'Gr. A+'!$D$8:$E$14,2,0),"-")</f>
        <v>Schulle</v>
      </c>
      <c r="C22" s="171" t="s">
        <v>19</v>
      </c>
      <c r="D22" s="176" t="str">
        <f>IFERROR(VLOOKUP('Gr. A+'!E31,'Gr. A+'!$D$8:$E$14,2,0),"-")</f>
        <v>Cheval</v>
      </c>
      <c r="E22" s="176">
        <v>7</v>
      </c>
      <c r="F22" s="171" t="s">
        <v>19</v>
      </c>
      <c r="G22" s="176">
        <v>0</v>
      </c>
      <c r="H22" s="170"/>
      <c r="I22" s="176" t="s">
        <v>42</v>
      </c>
      <c r="J22" s="176" t="str">
        <f>IFERROR(VLOOKUP('Gr. A+'!H31,'Gr. A+'!$D$8:$E$14,2,0),"-")</f>
        <v>Cheval</v>
      </c>
      <c r="K22" s="171" t="s">
        <v>19</v>
      </c>
      <c r="L22" s="176" t="str">
        <f>IFERROR(VLOOKUP('Gr. A+'!J31,'Gr. A+'!$D$8:$E$14,2,0),"-")</f>
        <v>Schulle</v>
      </c>
      <c r="M22" s="176">
        <v>1</v>
      </c>
      <c r="N22" s="171" t="s">
        <v>19</v>
      </c>
      <c r="O22" s="176">
        <v>5</v>
      </c>
    </row>
    <row r="23" spans="1:15" ht="13.95" customHeight="1" thickBot="1" x14ac:dyDescent="0.35">
      <c r="A23" s="176" t="s">
        <v>20</v>
      </c>
      <c r="B23" s="176" t="str">
        <f>IFERROR(VLOOKUP('Gr. A+'!C32,'Gr. A+'!$D$8:$E$14,2,0),"-")</f>
        <v>Bromberg</v>
      </c>
      <c r="C23" s="171" t="s">
        <v>19</v>
      </c>
      <c r="D23" s="176" t="str">
        <f>IFERROR(VLOOKUP('Gr. A+'!E32,'Gr. A+'!$D$8:$E$14,2,0),"-")</f>
        <v>FC Sandkagen</v>
      </c>
      <c r="E23" s="176">
        <v>4</v>
      </c>
      <c r="F23" s="171" t="s">
        <v>19</v>
      </c>
      <c r="G23" s="176">
        <v>3</v>
      </c>
      <c r="H23" s="173"/>
      <c r="I23" s="176" t="s">
        <v>43</v>
      </c>
      <c r="J23" s="176" t="str">
        <f>IFERROR(VLOOKUP('Gr. A+'!H32,'Gr. A+'!$D$8:$E$14,2,0),"-")</f>
        <v>FC Sandkagen</v>
      </c>
      <c r="K23" s="171" t="s">
        <v>19</v>
      </c>
      <c r="L23" s="176" t="str">
        <f>IFERROR(VLOOKUP('Gr. A+'!J32,'Gr. A+'!$D$8:$E$14,2,0),"-")</f>
        <v>Bromberg</v>
      </c>
      <c r="M23" s="176">
        <v>2</v>
      </c>
      <c r="N23" s="171" t="s">
        <v>19</v>
      </c>
      <c r="O23" s="176">
        <v>2</v>
      </c>
    </row>
    <row r="24" spans="1:15" ht="13.95" customHeight="1" thickBot="1" x14ac:dyDescent="0.35">
      <c r="A24" s="176" t="s">
        <v>21</v>
      </c>
      <c r="B24" s="176" t="str">
        <f>IFERROR(VLOOKUP('Gr. A+'!C33,'Gr. A+'!$D$8:$E$14,2,0),"-")</f>
        <v>Bromberg</v>
      </c>
      <c r="C24" s="171" t="s">
        <v>19</v>
      </c>
      <c r="D24" s="176" t="str">
        <f>IFERROR(VLOOKUP('Gr. A+'!E33,'Gr. A+'!$D$8:$E$14,2,0),"-")</f>
        <v>Tobby</v>
      </c>
      <c r="E24" s="176">
        <v>2</v>
      </c>
      <c r="F24" s="171" t="s">
        <v>19</v>
      </c>
      <c r="G24" s="176">
        <v>2</v>
      </c>
      <c r="H24" s="173"/>
      <c r="I24" s="176" t="s">
        <v>44</v>
      </c>
      <c r="J24" s="176" t="str">
        <f>IFERROR(VLOOKUP('Gr. A+'!H33,'Gr. A+'!$D$8:$E$14,2,0),"-")</f>
        <v>Tobby</v>
      </c>
      <c r="K24" s="171" t="s">
        <v>19</v>
      </c>
      <c r="L24" s="176" t="str">
        <f>IFERROR(VLOOKUP('Gr. A+'!J33,'Gr. A+'!$D$8:$E$14,2,0),"-")</f>
        <v>Bromberg</v>
      </c>
      <c r="M24" s="176">
        <v>0</v>
      </c>
      <c r="N24" s="171" t="s">
        <v>19</v>
      </c>
      <c r="O24" s="176">
        <v>1</v>
      </c>
    </row>
    <row r="25" spans="1:15" ht="13.95" customHeight="1" thickBot="1" x14ac:dyDescent="0.35">
      <c r="A25" s="176" t="s">
        <v>22</v>
      </c>
      <c r="B25" s="176" t="str">
        <f>IFERROR(VLOOKUP('Gr. A+'!C34,'Gr. A+'!$D$8:$E$14,2,0),"-")</f>
        <v>Bromberg</v>
      </c>
      <c r="C25" s="171" t="s">
        <v>19</v>
      </c>
      <c r="D25" s="176" t="str">
        <f>IFERROR(VLOOKUP('Gr. A+'!E34,'Gr. A+'!$D$8:$E$14,2,0),"-")</f>
        <v>Cheval</v>
      </c>
      <c r="E25" s="176">
        <v>2</v>
      </c>
      <c r="F25" s="171" t="s">
        <v>19</v>
      </c>
      <c r="G25" s="176">
        <v>0</v>
      </c>
      <c r="H25" s="173"/>
      <c r="I25" s="176" t="s">
        <v>45</v>
      </c>
      <c r="J25" s="176" t="str">
        <f>IFERROR(VLOOKUP('Gr. A+'!H34,'Gr. A+'!$D$8:$E$14,2,0),"-")</f>
        <v>Cheval</v>
      </c>
      <c r="K25" s="171" t="s">
        <v>19</v>
      </c>
      <c r="L25" s="176" t="str">
        <f>IFERROR(VLOOKUP('Gr. A+'!J34,'Gr. A+'!$D$8:$E$14,2,0),"-")</f>
        <v>Bromberg</v>
      </c>
      <c r="M25" s="176">
        <v>0</v>
      </c>
      <c r="N25" s="171" t="s">
        <v>19</v>
      </c>
      <c r="O25" s="176">
        <v>7</v>
      </c>
    </row>
    <row r="26" spans="1:15" ht="13.95" customHeight="1" thickBot="1" x14ac:dyDescent="0.35">
      <c r="A26" s="176" t="s">
        <v>23</v>
      </c>
      <c r="B26" s="176" t="str">
        <f>IFERROR(VLOOKUP('Gr. A+'!C35,'Gr. A+'!$D$8:$E$14,2,0),"-")</f>
        <v>FC Sandkagen</v>
      </c>
      <c r="C26" s="171" t="s">
        <v>19</v>
      </c>
      <c r="D26" s="176" t="str">
        <f>IFERROR(VLOOKUP('Gr. A+'!E35,'Gr. A+'!$D$8:$E$14,2,0),"-")</f>
        <v>Tobby</v>
      </c>
      <c r="E26" s="176">
        <v>0</v>
      </c>
      <c r="F26" s="171" t="s">
        <v>19</v>
      </c>
      <c r="G26" s="176">
        <v>2</v>
      </c>
      <c r="H26" s="173"/>
      <c r="I26" s="176" t="s">
        <v>46</v>
      </c>
      <c r="J26" s="176" t="str">
        <f>IFERROR(VLOOKUP('Gr. A+'!H35,'Gr. A+'!$D$8:$E$14,2,0),"-")</f>
        <v>Tobby</v>
      </c>
      <c r="K26" s="171" t="s">
        <v>19</v>
      </c>
      <c r="L26" s="176" t="str">
        <f>IFERROR(VLOOKUP('Gr. A+'!J35,'Gr. A+'!$D$8:$E$14,2,0),"-")</f>
        <v>FC Sandkagen</v>
      </c>
      <c r="M26" s="176">
        <v>1</v>
      </c>
      <c r="N26" s="171" t="s">
        <v>19</v>
      </c>
      <c r="O26" s="176">
        <v>1</v>
      </c>
    </row>
    <row r="27" spans="1:15" ht="13.95" customHeight="1" thickBot="1" x14ac:dyDescent="0.35">
      <c r="A27" s="176" t="s">
        <v>24</v>
      </c>
      <c r="B27" s="176" t="str">
        <f>IFERROR(VLOOKUP('Gr. A+'!C36,'Gr. A+'!$D$8:$E$14,2,0),"-")</f>
        <v>FC Sandkagen</v>
      </c>
      <c r="C27" s="171" t="s">
        <v>19</v>
      </c>
      <c r="D27" s="176" t="str">
        <f>IFERROR(VLOOKUP('Gr. A+'!E36,'Gr. A+'!$D$8:$E$14,2,0),"-")</f>
        <v>Cheval</v>
      </c>
      <c r="E27" s="176">
        <v>3</v>
      </c>
      <c r="F27" s="171" t="s">
        <v>19</v>
      </c>
      <c r="G27" s="176">
        <v>1</v>
      </c>
      <c r="H27" s="173"/>
      <c r="I27" s="176" t="s">
        <v>47</v>
      </c>
      <c r="J27" s="176" t="str">
        <f>IFERROR(VLOOKUP('Gr. A+'!H36,'Gr. A+'!$D$8:$E$14,2,0),"-")</f>
        <v>Cheval</v>
      </c>
      <c r="K27" s="171" t="s">
        <v>19</v>
      </c>
      <c r="L27" s="176" t="str">
        <f>IFERROR(VLOOKUP('Gr. A+'!J36,'Gr. A+'!$D$8:$E$14,2,0),"-")</f>
        <v>FC Sandkagen</v>
      </c>
      <c r="M27" s="176">
        <v>0</v>
      </c>
      <c r="N27" s="171" t="s">
        <v>19</v>
      </c>
      <c r="O27" s="176">
        <v>2</v>
      </c>
    </row>
    <row r="28" spans="1:15" ht="13.95" customHeight="1" thickBot="1" x14ac:dyDescent="0.35">
      <c r="A28" s="176" t="s">
        <v>25</v>
      </c>
      <c r="B28" s="176" t="str">
        <f>IFERROR(VLOOKUP('Gr. A+'!C37,'Gr. A+'!$D$8:$E$14,2,0),"-")</f>
        <v>Tobby</v>
      </c>
      <c r="C28" s="171" t="s">
        <v>19</v>
      </c>
      <c r="D28" s="176" t="str">
        <f>IFERROR(VLOOKUP('Gr. A+'!E37,'Gr. A+'!$D$8:$E$14,2,0),"-")</f>
        <v>Cheval</v>
      </c>
      <c r="E28" s="176">
        <v>3</v>
      </c>
      <c r="F28" s="171" t="s">
        <v>19</v>
      </c>
      <c r="G28" s="176">
        <v>3</v>
      </c>
      <c r="H28" s="173"/>
      <c r="I28" s="176" t="s">
        <v>48</v>
      </c>
      <c r="J28" s="176" t="str">
        <f>IFERROR(VLOOKUP('Gr. A+'!H37,'Gr. A+'!$D$8:$E$14,2,0),"-")</f>
        <v>Cheval</v>
      </c>
      <c r="K28" s="171" t="s">
        <v>19</v>
      </c>
      <c r="L28" s="176" t="str">
        <f>IFERROR(VLOOKUP('Gr. A+'!J37,'Gr. A+'!$D$8:$E$14,2,0),"-")</f>
        <v>Tobby</v>
      </c>
      <c r="M28" s="176">
        <v>2</v>
      </c>
      <c r="N28" s="171" t="s">
        <v>19</v>
      </c>
      <c r="O28" s="176">
        <v>1</v>
      </c>
    </row>
  </sheetData>
  <mergeCells count="12">
    <mergeCell ref="B1:D1"/>
    <mergeCell ref="J1:L1"/>
    <mergeCell ref="E2:I3"/>
    <mergeCell ref="E7:G7"/>
    <mergeCell ref="M7:O7"/>
    <mergeCell ref="B2:D2"/>
    <mergeCell ref="B3:D3"/>
    <mergeCell ref="B4:D4"/>
    <mergeCell ref="B5:D5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H17" sqref="H17"/>
    </sheetView>
  </sheetViews>
  <sheetFormatPr defaultColWidth="8.88671875" defaultRowHeight="14.4" x14ac:dyDescent="0.3"/>
  <cols>
    <col min="1" max="3" width="8.88671875" style="168"/>
    <col min="4" max="4" width="3.5546875" style="168" bestFit="1" customWidth="1"/>
    <col min="5" max="8" width="8.88671875" style="168"/>
    <col min="9" max="9" width="3.5546875" style="168" customWidth="1"/>
    <col min="10" max="16384" width="8.88671875" style="168"/>
  </cols>
  <sheetData>
    <row r="1" spans="2:10" ht="15" thickBot="1" x14ac:dyDescent="0.35"/>
    <row r="2" spans="2:10" ht="14.4" customHeight="1" x14ac:dyDescent="0.3">
      <c r="D2" s="260" t="s">
        <v>50</v>
      </c>
      <c r="E2" s="261"/>
      <c r="F2" s="261"/>
      <c r="G2" s="261"/>
      <c r="H2" s="262"/>
    </row>
    <row r="3" spans="2:10" ht="14.4" customHeight="1" x14ac:dyDescent="0.3">
      <c r="D3" s="247"/>
      <c r="E3" s="263"/>
      <c r="F3" s="263"/>
      <c r="G3" s="263"/>
      <c r="H3" s="249"/>
    </row>
    <row r="4" spans="2:10" ht="14.4" customHeight="1" x14ac:dyDescent="0.3">
      <c r="D4" s="247"/>
      <c r="E4" s="263"/>
      <c r="F4" s="263"/>
      <c r="G4" s="263"/>
      <c r="H4" s="249"/>
    </row>
    <row r="5" spans="2:10" ht="15" thickBot="1" x14ac:dyDescent="0.35">
      <c r="D5" s="264"/>
      <c r="E5" s="265"/>
      <c r="F5" s="265"/>
      <c r="G5" s="265"/>
      <c r="H5" s="266"/>
    </row>
    <row r="6" spans="2:10" ht="15" thickBot="1" x14ac:dyDescent="0.35"/>
    <row r="7" spans="2:10" ht="15" thickBot="1" x14ac:dyDescent="0.35">
      <c r="C7" s="177"/>
      <c r="D7" s="178" t="s">
        <v>49</v>
      </c>
      <c r="E7" s="270" t="s">
        <v>36</v>
      </c>
      <c r="F7" s="271"/>
      <c r="G7" s="271"/>
      <c r="H7" s="272"/>
      <c r="I7" s="179"/>
    </row>
    <row r="8" spans="2:10" x14ac:dyDescent="0.3">
      <c r="C8" s="180"/>
      <c r="D8" s="181">
        <v>1</v>
      </c>
      <c r="E8" s="267" t="s">
        <v>112</v>
      </c>
      <c r="F8" s="268"/>
      <c r="G8" s="268"/>
      <c r="H8" s="269"/>
      <c r="I8" s="182"/>
    </row>
    <row r="9" spans="2:10" x14ac:dyDescent="0.3">
      <c r="C9" s="180"/>
      <c r="D9" s="183">
        <v>2</v>
      </c>
      <c r="E9" s="254" t="s">
        <v>113</v>
      </c>
      <c r="F9" s="255"/>
      <c r="G9" s="255"/>
      <c r="H9" s="256"/>
      <c r="I9" s="182"/>
    </row>
    <row r="10" spans="2:10" x14ac:dyDescent="0.3">
      <c r="C10" s="180"/>
      <c r="D10" s="183">
        <v>3</v>
      </c>
      <c r="E10" s="254" t="s">
        <v>114</v>
      </c>
      <c r="F10" s="255"/>
      <c r="G10" s="255"/>
      <c r="H10" s="256"/>
      <c r="I10" s="182"/>
    </row>
    <row r="11" spans="2:10" x14ac:dyDescent="0.3">
      <c r="C11" s="180"/>
      <c r="D11" s="183">
        <v>4</v>
      </c>
      <c r="E11" s="254" t="s">
        <v>115</v>
      </c>
      <c r="F11" s="255"/>
      <c r="G11" s="255"/>
      <c r="H11" s="256"/>
      <c r="I11" s="182"/>
    </row>
    <row r="12" spans="2:10" x14ac:dyDescent="0.3">
      <c r="C12" s="180"/>
      <c r="D12" s="183">
        <v>5</v>
      </c>
      <c r="E12" s="254" t="s">
        <v>116</v>
      </c>
      <c r="F12" s="255"/>
      <c r="G12" s="255"/>
      <c r="H12" s="256"/>
      <c r="I12" s="182"/>
    </row>
    <row r="13" spans="2:10" x14ac:dyDescent="0.3">
      <c r="C13" s="180"/>
      <c r="D13" s="183">
        <v>6</v>
      </c>
      <c r="E13" s="254" t="s">
        <v>117</v>
      </c>
      <c r="F13" s="255"/>
      <c r="G13" s="255"/>
      <c r="H13" s="256"/>
      <c r="I13" s="182"/>
    </row>
    <row r="14" spans="2:10" ht="15" thickBot="1" x14ac:dyDescent="0.35">
      <c r="C14" s="180"/>
      <c r="D14" s="184">
        <v>7</v>
      </c>
      <c r="E14" s="257" t="s">
        <v>118</v>
      </c>
      <c r="F14" s="258"/>
      <c r="G14" s="258"/>
      <c r="H14" s="259"/>
      <c r="I14" s="182"/>
    </row>
    <row r="15" spans="2:10" ht="15" thickBot="1" x14ac:dyDescent="0.35"/>
    <row r="16" spans="2:10" ht="16.2" thickBot="1" x14ac:dyDescent="0.35">
      <c r="B16" s="213" t="s">
        <v>18</v>
      </c>
      <c r="C16" s="213" t="s">
        <v>15</v>
      </c>
      <c r="D16" s="213"/>
      <c r="E16" s="213" t="s">
        <v>16</v>
      </c>
      <c r="F16" s="169"/>
      <c r="G16" s="213" t="s">
        <v>18</v>
      </c>
      <c r="H16" s="213" t="s">
        <v>15</v>
      </c>
      <c r="I16" s="213"/>
      <c r="J16" s="213" t="s">
        <v>16</v>
      </c>
    </row>
    <row r="17" spans="2:10" ht="16.2" thickBot="1" x14ac:dyDescent="0.35">
      <c r="B17" s="176" t="s">
        <v>0</v>
      </c>
      <c r="C17" s="176">
        <v>1</v>
      </c>
      <c r="D17" s="171" t="s">
        <v>19</v>
      </c>
      <c r="E17" s="176">
        <v>2</v>
      </c>
      <c r="F17" s="170"/>
      <c r="G17" s="176" t="s">
        <v>26</v>
      </c>
      <c r="H17" s="176">
        <v>2</v>
      </c>
      <c r="I17" s="171" t="s">
        <v>19</v>
      </c>
      <c r="J17" s="176">
        <v>1</v>
      </c>
    </row>
    <row r="18" spans="2:10" ht="16.2" thickBot="1" x14ac:dyDescent="0.35">
      <c r="B18" s="176" t="s">
        <v>1</v>
      </c>
      <c r="C18" s="176">
        <v>1</v>
      </c>
      <c r="D18" s="171" t="s">
        <v>19</v>
      </c>
      <c r="E18" s="176">
        <v>3</v>
      </c>
      <c r="F18" s="170"/>
      <c r="G18" s="176" t="s">
        <v>27</v>
      </c>
      <c r="H18" s="176">
        <v>3</v>
      </c>
      <c r="I18" s="171" t="s">
        <v>19</v>
      </c>
      <c r="J18" s="176">
        <v>1</v>
      </c>
    </row>
    <row r="19" spans="2:10" ht="16.2" thickBot="1" x14ac:dyDescent="0.35">
      <c r="B19" s="176" t="s">
        <v>2</v>
      </c>
      <c r="C19" s="176">
        <v>1</v>
      </c>
      <c r="D19" s="171" t="s">
        <v>19</v>
      </c>
      <c r="E19" s="176">
        <v>4</v>
      </c>
      <c r="F19" s="170"/>
      <c r="G19" s="176" t="s">
        <v>28</v>
      </c>
      <c r="H19" s="176">
        <v>4</v>
      </c>
      <c r="I19" s="171" t="s">
        <v>19</v>
      </c>
      <c r="J19" s="176">
        <v>1</v>
      </c>
    </row>
    <row r="20" spans="2:10" ht="16.2" thickBot="1" x14ac:dyDescent="0.35">
      <c r="B20" s="176" t="s">
        <v>3</v>
      </c>
      <c r="C20" s="176">
        <v>1</v>
      </c>
      <c r="D20" s="171" t="s">
        <v>19</v>
      </c>
      <c r="E20" s="176">
        <v>5</v>
      </c>
      <c r="F20" s="170"/>
      <c r="G20" s="176" t="s">
        <v>29</v>
      </c>
      <c r="H20" s="176">
        <v>5</v>
      </c>
      <c r="I20" s="171" t="s">
        <v>19</v>
      </c>
      <c r="J20" s="176">
        <v>1</v>
      </c>
    </row>
    <row r="21" spans="2:10" ht="16.2" thickBot="1" x14ac:dyDescent="0.35">
      <c r="B21" s="176" t="s">
        <v>4</v>
      </c>
      <c r="C21" s="176">
        <v>1</v>
      </c>
      <c r="D21" s="171" t="s">
        <v>19</v>
      </c>
      <c r="E21" s="176">
        <v>6</v>
      </c>
      <c r="F21" s="170"/>
      <c r="G21" s="176" t="s">
        <v>30</v>
      </c>
      <c r="H21" s="176">
        <v>6</v>
      </c>
      <c r="I21" s="171" t="s">
        <v>19</v>
      </c>
      <c r="J21" s="176">
        <v>1</v>
      </c>
    </row>
    <row r="22" spans="2:10" ht="16.2" thickBot="1" x14ac:dyDescent="0.35">
      <c r="B22" s="176" t="s">
        <v>5</v>
      </c>
      <c r="C22" s="176">
        <v>1</v>
      </c>
      <c r="D22" s="171" t="s">
        <v>19</v>
      </c>
      <c r="E22" s="176">
        <v>7</v>
      </c>
      <c r="F22" s="170"/>
      <c r="G22" s="176" t="s">
        <v>31</v>
      </c>
      <c r="H22" s="176">
        <v>7</v>
      </c>
      <c r="I22" s="171" t="s">
        <v>19</v>
      </c>
      <c r="J22" s="176">
        <v>1</v>
      </c>
    </row>
    <row r="23" spans="2:10" ht="16.2" thickBot="1" x14ac:dyDescent="0.35">
      <c r="B23" s="176" t="s">
        <v>6</v>
      </c>
      <c r="C23" s="176">
        <v>2</v>
      </c>
      <c r="D23" s="171" t="s">
        <v>19</v>
      </c>
      <c r="E23" s="176">
        <v>3</v>
      </c>
      <c r="F23" s="170"/>
      <c r="G23" s="176" t="s">
        <v>32</v>
      </c>
      <c r="H23" s="176">
        <v>3</v>
      </c>
      <c r="I23" s="171" t="s">
        <v>19</v>
      </c>
      <c r="J23" s="176">
        <v>2</v>
      </c>
    </row>
    <row r="24" spans="2:10" ht="16.2" thickBot="1" x14ac:dyDescent="0.35">
      <c r="B24" s="176" t="s">
        <v>7</v>
      </c>
      <c r="C24" s="176">
        <v>2</v>
      </c>
      <c r="D24" s="171" t="s">
        <v>19</v>
      </c>
      <c r="E24" s="176">
        <v>4</v>
      </c>
      <c r="F24" s="170"/>
      <c r="G24" s="176" t="s">
        <v>33</v>
      </c>
      <c r="H24" s="176">
        <v>4</v>
      </c>
      <c r="I24" s="171" t="s">
        <v>19</v>
      </c>
      <c r="J24" s="176">
        <v>2</v>
      </c>
    </row>
    <row r="25" spans="2:10" ht="16.2" thickBot="1" x14ac:dyDescent="0.35">
      <c r="B25" s="176" t="s">
        <v>8</v>
      </c>
      <c r="C25" s="176">
        <v>2</v>
      </c>
      <c r="D25" s="171" t="s">
        <v>19</v>
      </c>
      <c r="E25" s="176">
        <v>5</v>
      </c>
      <c r="F25" s="170"/>
      <c r="G25" s="176" t="s">
        <v>34</v>
      </c>
      <c r="H25" s="176">
        <v>5</v>
      </c>
      <c r="I25" s="171" t="s">
        <v>19</v>
      </c>
      <c r="J25" s="176">
        <v>2</v>
      </c>
    </row>
    <row r="26" spans="2:10" ht="16.2" thickBot="1" x14ac:dyDescent="0.35">
      <c r="B26" s="176" t="s">
        <v>9</v>
      </c>
      <c r="C26" s="176">
        <v>2</v>
      </c>
      <c r="D26" s="171" t="s">
        <v>19</v>
      </c>
      <c r="E26" s="176">
        <v>6</v>
      </c>
      <c r="F26" s="170"/>
      <c r="G26" s="176" t="s">
        <v>37</v>
      </c>
      <c r="H26" s="176">
        <v>6</v>
      </c>
      <c r="I26" s="171" t="s">
        <v>19</v>
      </c>
      <c r="J26" s="176">
        <v>2</v>
      </c>
    </row>
    <row r="27" spans="2:10" ht="16.2" thickBot="1" x14ac:dyDescent="0.35">
      <c r="B27" s="176" t="s">
        <v>10</v>
      </c>
      <c r="C27" s="176">
        <v>2</v>
      </c>
      <c r="D27" s="171" t="s">
        <v>19</v>
      </c>
      <c r="E27" s="176">
        <v>7</v>
      </c>
      <c r="F27" s="170"/>
      <c r="G27" s="176" t="s">
        <v>38</v>
      </c>
      <c r="H27" s="176">
        <v>7</v>
      </c>
      <c r="I27" s="171" t="s">
        <v>19</v>
      </c>
      <c r="J27" s="176">
        <v>2</v>
      </c>
    </row>
    <row r="28" spans="2:10" ht="16.2" thickBot="1" x14ac:dyDescent="0.35">
      <c r="B28" s="176" t="s">
        <v>11</v>
      </c>
      <c r="C28" s="176">
        <v>3</v>
      </c>
      <c r="D28" s="171" t="s">
        <v>19</v>
      </c>
      <c r="E28" s="176">
        <v>4</v>
      </c>
      <c r="F28" s="170"/>
      <c r="G28" s="176" t="s">
        <v>39</v>
      </c>
      <c r="H28" s="176">
        <v>4</v>
      </c>
      <c r="I28" s="171" t="s">
        <v>19</v>
      </c>
      <c r="J28" s="176">
        <v>3</v>
      </c>
    </row>
    <row r="29" spans="2:10" ht="16.2" thickBot="1" x14ac:dyDescent="0.35">
      <c r="B29" s="176" t="s">
        <v>12</v>
      </c>
      <c r="C29" s="176">
        <v>3</v>
      </c>
      <c r="D29" s="171" t="s">
        <v>19</v>
      </c>
      <c r="E29" s="176">
        <v>5</v>
      </c>
      <c r="F29" s="170"/>
      <c r="G29" s="176" t="s">
        <v>40</v>
      </c>
      <c r="H29" s="176">
        <v>5</v>
      </c>
      <c r="I29" s="171" t="s">
        <v>19</v>
      </c>
      <c r="J29" s="176">
        <v>3</v>
      </c>
    </row>
    <row r="30" spans="2:10" ht="16.2" thickBot="1" x14ac:dyDescent="0.35">
      <c r="B30" s="176" t="s">
        <v>13</v>
      </c>
      <c r="C30" s="176">
        <v>3</v>
      </c>
      <c r="D30" s="171" t="s">
        <v>19</v>
      </c>
      <c r="E30" s="176">
        <v>6</v>
      </c>
      <c r="F30" s="170"/>
      <c r="G30" s="176" t="s">
        <v>41</v>
      </c>
      <c r="H30" s="176">
        <v>6</v>
      </c>
      <c r="I30" s="171" t="s">
        <v>19</v>
      </c>
      <c r="J30" s="176">
        <v>3</v>
      </c>
    </row>
    <row r="31" spans="2:10" ht="16.2" thickBot="1" x14ac:dyDescent="0.35">
      <c r="B31" s="176" t="s">
        <v>14</v>
      </c>
      <c r="C31" s="176">
        <v>3</v>
      </c>
      <c r="D31" s="171" t="s">
        <v>19</v>
      </c>
      <c r="E31" s="176">
        <v>7</v>
      </c>
      <c r="F31" s="170"/>
      <c r="G31" s="176" t="s">
        <v>42</v>
      </c>
      <c r="H31" s="176">
        <v>7</v>
      </c>
      <c r="I31" s="171" t="s">
        <v>19</v>
      </c>
      <c r="J31" s="176">
        <v>3</v>
      </c>
    </row>
    <row r="32" spans="2:10" ht="16.2" thickBot="1" x14ac:dyDescent="0.35">
      <c r="B32" s="176" t="s">
        <v>20</v>
      </c>
      <c r="C32" s="176">
        <v>4</v>
      </c>
      <c r="D32" s="171" t="s">
        <v>19</v>
      </c>
      <c r="E32" s="176">
        <v>5</v>
      </c>
      <c r="F32" s="173"/>
      <c r="G32" s="176" t="s">
        <v>43</v>
      </c>
      <c r="H32" s="176">
        <v>5</v>
      </c>
      <c r="I32" s="171" t="s">
        <v>19</v>
      </c>
      <c r="J32" s="176">
        <v>4</v>
      </c>
    </row>
    <row r="33" spans="2:10" ht="16.2" thickBot="1" x14ac:dyDescent="0.35">
      <c r="B33" s="176" t="s">
        <v>21</v>
      </c>
      <c r="C33" s="176">
        <v>4</v>
      </c>
      <c r="D33" s="171" t="s">
        <v>19</v>
      </c>
      <c r="E33" s="176">
        <v>6</v>
      </c>
      <c r="F33" s="173"/>
      <c r="G33" s="176" t="s">
        <v>44</v>
      </c>
      <c r="H33" s="176">
        <v>6</v>
      </c>
      <c r="I33" s="171" t="s">
        <v>19</v>
      </c>
      <c r="J33" s="176">
        <v>4</v>
      </c>
    </row>
    <row r="34" spans="2:10" ht="16.2" thickBot="1" x14ac:dyDescent="0.35">
      <c r="B34" s="176" t="s">
        <v>22</v>
      </c>
      <c r="C34" s="176">
        <v>4</v>
      </c>
      <c r="D34" s="171" t="s">
        <v>19</v>
      </c>
      <c r="E34" s="176">
        <v>7</v>
      </c>
      <c r="F34" s="173"/>
      <c r="G34" s="176" t="s">
        <v>45</v>
      </c>
      <c r="H34" s="176">
        <v>7</v>
      </c>
      <c r="I34" s="171" t="s">
        <v>19</v>
      </c>
      <c r="J34" s="176">
        <v>4</v>
      </c>
    </row>
    <row r="35" spans="2:10" ht="16.2" thickBot="1" x14ac:dyDescent="0.35">
      <c r="B35" s="176" t="s">
        <v>23</v>
      </c>
      <c r="C35" s="176">
        <v>5</v>
      </c>
      <c r="D35" s="171" t="s">
        <v>19</v>
      </c>
      <c r="E35" s="176">
        <v>6</v>
      </c>
      <c r="F35" s="173"/>
      <c r="G35" s="176" t="s">
        <v>46</v>
      </c>
      <c r="H35" s="176">
        <v>6</v>
      </c>
      <c r="I35" s="171" t="s">
        <v>19</v>
      </c>
      <c r="J35" s="176">
        <v>5</v>
      </c>
    </row>
    <row r="36" spans="2:10" ht="16.2" thickBot="1" x14ac:dyDescent="0.35">
      <c r="B36" s="176" t="s">
        <v>24</v>
      </c>
      <c r="C36" s="176">
        <v>5</v>
      </c>
      <c r="D36" s="171" t="s">
        <v>19</v>
      </c>
      <c r="E36" s="176">
        <v>7</v>
      </c>
      <c r="F36" s="173"/>
      <c r="G36" s="176" t="s">
        <v>47</v>
      </c>
      <c r="H36" s="176">
        <v>7</v>
      </c>
      <c r="I36" s="171" t="s">
        <v>19</v>
      </c>
      <c r="J36" s="176">
        <v>5</v>
      </c>
    </row>
    <row r="37" spans="2:10" ht="16.2" thickBot="1" x14ac:dyDescent="0.35">
      <c r="B37" s="176" t="s">
        <v>25</v>
      </c>
      <c r="C37" s="176">
        <v>6</v>
      </c>
      <c r="D37" s="171" t="s">
        <v>19</v>
      </c>
      <c r="E37" s="176">
        <v>7</v>
      </c>
      <c r="F37" s="173"/>
      <c r="G37" s="176" t="s">
        <v>48</v>
      </c>
      <c r="H37" s="176">
        <v>7</v>
      </c>
      <c r="I37" s="171" t="s">
        <v>19</v>
      </c>
      <c r="J37" s="176">
        <v>6</v>
      </c>
    </row>
  </sheetData>
  <mergeCells count="9">
    <mergeCell ref="E11:H11"/>
    <mergeCell ref="E12:H12"/>
    <mergeCell ref="E13:H13"/>
    <mergeCell ref="E14:H14"/>
    <mergeCell ref="D2:H5"/>
    <mergeCell ref="E8:H8"/>
    <mergeCell ref="E9:H9"/>
    <mergeCell ref="E7:H7"/>
    <mergeCell ref="E10:H1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H16" sqref="H16"/>
    </sheetView>
  </sheetViews>
  <sheetFormatPr defaultColWidth="8.88671875" defaultRowHeight="14.4" x14ac:dyDescent="0.3"/>
  <cols>
    <col min="1" max="1" width="15.88671875" style="187" customWidth="1"/>
    <col min="2" max="2" width="16.109375" style="187" customWidth="1"/>
    <col min="3" max="5" width="3.88671875" style="187" customWidth="1"/>
    <col min="6" max="6" width="8.33203125" style="187" customWidth="1"/>
    <col min="7" max="7" width="8.33203125" style="188" customWidth="1"/>
    <col min="8" max="8" width="15.6640625" style="188" customWidth="1"/>
    <col min="9" max="9" width="5" style="188" customWidth="1"/>
    <col min="10" max="16" width="5" style="187" customWidth="1"/>
    <col min="17" max="17" width="11.44140625" style="187" customWidth="1"/>
    <col min="18" max="18" width="8.88671875" style="187" customWidth="1"/>
    <col min="19" max="19" width="6.109375" style="187" customWidth="1"/>
    <col min="20" max="20" width="8.44140625" style="187" customWidth="1"/>
    <col min="21" max="27" width="5.88671875" style="187" customWidth="1"/>
    <col min="28" max="28" width="9.109375" style="187" customWidth="1"/>
    <col min="29" max="16384" width="8.88671875" style="187"/>
  </cols>
  <sheetData>
    <row r="1" spans="1:29" ht="28.8" x14ac:dyDescent="0.55000000000000004">
      <c r="A1" s="185" t="str">
        <f>'Gr. A+'!D2</f>
        <v>GROUP A</v>
      </c>
      <c r="B1" s="186"/>
    </row>
    <row r="2" spans="1:29" x14ac:dyDescent="0.3">
      <c r="A2" s="189"/>
      <c r="B2" s="186"/>
      <c r="T2" s="190" t="s">
        <v>51</v>
      </c>
      <c r="U2" s="191" t="s">
        <v>52</v>
      </c>
      <c r="V2" s="191" t="s">
        <v>53</v>
      </c>
      <c r="W2" s="191" t="s">
        <v>54</v>
      </c>
      <c r="X2" s="192" t="s">
        <v>55</v>
      </c>
      <c r="Y2" s="193" t="s">
        <v>56</v>
      </c>
      <c r="Z2" s="191" t="s">
        <v>57</v>
      </c>
      <c r="AA2" s="192" t="s">
        <v>58</v>
      </c>
      <c r="AB2" s="194" t="s">
        <v>59</v>
      </c>
    </row>
    <row r="3" spans="1:29" x14ac:dyDescent="0.3">
      <c r="A3" s="195" t="s">
        <v>60</v>
      </c>
      <c r="B3" s="196" t="s">
        <v>61</v>
      </c>
      <c r="S3" s="197" t="str">
        <f t="shared" ref="S3:S9" si="0">A4</f>
        <v>DjowGer</v>
      </c>
      <c r="T3" s="198">
        <f t="array" ref="T3">SUM(($A$14:$A$56=S3)*(ISNUMBER($C$14:$C$56)),($B$14:$B$56=S3)*(ISNUMBER($E$14:$E$56)))</f>
        <v>12</v>
      </c>
      <c r="U3" s="188">
        <f t="array" ref="U3">SUM((home=S3)*(homescore&gt;visitorscore),(visitor=S3)*(visitorscore&gt;homescore))</f>
        <v>11</v>
      </c>
      <c r="V3" s="188">
        <f t="array" ref="V3">SUM((home=S3)*(homescore=visitorscore)*ISNUMBER(visitorscore),(visitor=S3)*(visitorscore=homescore)*ISNUMBER(homescore))</f>
        <v>1</v>
      </c>
      <c r="W3" s="188">
        <f t="array" ref="W3">SUM((home=S3)*(homescore&lt;visitorscore),(visitor=S3)*(visitorscore&lt;homescore))</f>
        <v>0</v>
      </c>
      <c r="X3" s="199">
        <f t="shared" ref="X3" si="1">SUMIF(home,S3,homescore)+SUMIF(visitor,S3,visitorscore)</f>
        <v>65</v>
      </c>
      <c r="Y3" s="200">
        <f t="shared" ref="Y3" si="2">SUMIF(home,S3,visitorscore)+SUMIF(visitor,S3,homescore)</f>
        <v>7</v>
      </c>
      <c r="Z3" s="201">
        <f>X3-Y3</f>
        <v>58</v>
      </c>
      <c r="AA3" s="199">
        <f>U3*3+V3</f>
        <v>34</v>
      </c>
      <c r="AB3" s="187">
        <f>X3+Z3*10000+AA3*1000000000</f>
        <v>34000580065</v>
      </c>
    </row>
    <row r="4" spans="1:29" x14ac:dyDescent="0.3">
      <c r="A4" s="202" t="str">
        <f>'Gr. A+'!E8</f>
        <v>DjowGer</v>
      </c>
      <c r="B4" s="186"/>
      <c r="C4" s="186"/>
      <c r="E4" s="187">
        <v>1</v>
      </c>
      <c r="S4" s="203" t="str">
        <f t="shared" si="0"/>
        <v>Sanek</v>
      </c>
      <c r="T4" s="198">
        <f t="array" ref="T4">SUM(($A$14:$A$56=S4)*(ISNUMBER($C$14:$C$56)),($B$14:$B$56=S4)*(ISNUMBER($E$14:$E$56)))</f>
        <v>12</v>
      </c>
      <c r="U4" s="188">
        <f t="array" ref="U4">SUM((home=S4)*(homescore&gt;visitorscore),(visitor=S4)*(visitorscore&gt;homescore))</f>
        <v>7</v>
      </c>
      <c r="V4" s="188">
        <f t="array" ref="V4">SUM((home=S4)*(homescore=visitorscore)*ISNUMBER(visitorscore),(visitor=S4)*(visitorscore=homescore)*ISNUMBER(homescore))</f>
        <v>3</v>
      </c>
      <c r="W4" s="188">
        <f t="array" ref="W4">SUM((home=S4)*(homescore&lt;visitorscore),(visitor=S4)*(visitorscore&lt;homescore))</f>
        <v>2</v>
      </c>
      <c r="X4" s="199">
        <f t="shared" ref="X4" si="3">SUMIF(home,S4,homescore)+SUMIF(visitor,S4,visitorscore)</f>
        <v>26</v>
      </c>
      <c r="Y4" s="200">
        <f t="shared" ref="Y4" si="4">SUMIF(home,S4,visitorscore)+SUMIF(visitor,S4,homescore)</f>
        <v>18</v>
      </c>
      <c r="Z4" s="201">
        <f t="shared" ref="Z4:Z9" si="5">X4-Y4</f>
        <v>8</v>
      </c>
      <c r="AA4" s="199">
        <f t="shared" ref="AA4:AA9" si="6">U4*3+V4</f>
        <v>24</v>
      </c>
      <c r="AB4" s="187">
        <f t="shared" ref="AB4:AB9" si="7">X4+Z4*10000+AA4*1000000000</f>
        <v>24000080026</v>
      </c>
    </row>
    <row r="5" spans="1:29" x14ac:dyDescent="0.3">
      <c r="A5" s="202" t="str">
        <f>'Gr. A+'!E9</f>
        <v>Sanek</v>
      </c>
      <c r="B5" s="186"/>
      <c r="C5" s="186"/>
      <c r="E5" s="187">
        <v>2</v>
      </c>
      <c r="S5" s="203" t="str">
        <f t="shared" si="0"/>
        <v>Schulle</v>
      </c>
      <c r="T5" s="198">
        <f t="array" ref="T5">SUM(($A$14:$A$56=S5)*(ISNUMBER($C$14:$C$56)),($B$14:$B$56=S5)*(ISNUMBER($E$14:$E$56)))</f>
        <v>12</v>
      </c>
      <c r="U5" s="188">
        <f t="array" ref="U5">SUM((home=S5)*(homescore&gt;visitorscore),(visitor=S5)*(visitorscore&gt;homescore))</f>
        <v>6</v>
      </c>
      <c r="V5" s="188">
        <f t="array" ref="V5">SUM((home=S5)*(homescore=visitorscore)*ISNUMBER(visitorscore),(visitor=S5)*(visitorscore=homescore)*ISNUMBER(homescore))</f>
        <v>1</v>
      </c>
      <c r="W5" s="188">
        <f t="array" ref="W5">SUM((home=S5)*(homescore&lt;visitorscore),(visitor=S5)*(visitorscore&lt;homescore))</f>
        <v>5</v>
      </c>
      <c r="X5" s="199">
        <f t="shared" ref="X5" si="8">SUMIF(home,S5,homescore)+SUMIF(visitor,S5,visitorscore)</f>
        <v>31</v>
      </c>
      <c r="Y5" s="200">
        <f t="shared" ref="Y5" si="9">SUMIF(home,S5,visitorscore)+SUMIF(visitor,S5,homescore)</f>
        <v>26</v>
      </c>
      <c r="Z5" s="201">
        <f t="shared" si="5"/>
        <v>5</v>
      </c>
      <c r="AA5" s="199">
        <f t="shared" si="6"/>
        <v>19</v>
      </c>
      <c r="AB5" s="187">
        <f t="shared" si="7"/>
        <v>19000050031</v>
      </c>
    </row>
    <row r="6" spans="1:29" x14ac:dyDescent="0.3">
      <c r="A6" s="202" t="str">
        <f>'Gr. A+'!E10</f>
        <v>Schulle</v>
      </c>
      <c r="B6" s="186"/>
      <c r="C6" s="186"/>
      <c r="E6" s="187">
        <v>3</v>
      </c>
      <c r="S6" s="203" t="str">
        <f t="shared" si="0"/>
        <v>Bromberg</v>
      </c>
      <c r="T6" s="198">
        <f t="array" ref="T6">SUM(($A$14:$A$56=S6)*(ISNUMBER($C$14:$C$56)),($B$14:$B$56=S6)*(ISNUMBER($E$14:$E$56)))</f>
        <v>12</v>
      </c>
      <c r="U6" s="188">
        <f t="array" ref="U6">SUM((home=S6)*(homescore&gt;visitorscore),(visitor=S6)*(visitorscore&gt;homescore))</f>
        <v>7</v>
      </c>
      <c r="V6" s="188">
        <f t="array" ref="V6">SUM((home=S6)*(homescore=visitorscore)*ISNUMBER(visitorscore),(visitor=S6)*(visitorscore=homescore)*ISNUMBER(homescore))</f>
        <v>3</v>
      </c>
      <c r="W6" s="188">
        <f t="array" ref="W6">SUM((home=S6)*(homescore&lt;visitorscore),(visitor=S6)*(visitorscore&lt;homescore))</f>
        <v>2</v>
      </c>
      <c r="X6" s="199">
        <f t="shared" ref="X6" si="10">SUMIF(home,S6,homescore)+SUMIF(visitor,S6,visitorscore)</f>
        <v>32</v>
      </c>
      <c r="Y6" s="200">
        <f t="shared" ref="Y6" si="11">SUMIF(home,S6,visitorscore)+SUMIF(visitor,S6,homescore)</f>
        <v>16</v>
      </c>
      <c r="Z6" s="201">
        <f t="shared" si="5"/>
        <v>16</v>
      </c>
      <c r="AA6" s="199">
        <f t="shared" si="6"/>
        <v>24</v>
      </c>
      <c r="AB6" s="187">
        <f t="shared" si="7"/>
        <v>24000160032</v>
      </c>
    </row>
    <row r="7" spans="1:29" x14ac:dyDescent="0.3">
      <c r="A7" s="202" t="str">
        <f>'Gr. A+'!E11</f>
        <v>Bromberg</v>
      </c>
      <c r="B7" s="186"/>
      <c r="C7" s="186"/>
      <c r="E7" s="187">
        <v>4</v>
      </c>
      <c r="S7" s="204" t="str">
        <f t="shared" si="0"/>
        <v>FC Sandkagen</v>
      </c>
      <c r="T7" s="198">
        <f t="array" ref="T7">SUM(($A$14:$A$56=S7)*(ISNUMBER($C$14:$C$56)),($B$14:$B$56=S7)*(ISNUMBER($E$14:$E$56)))</f>
        <v>12</v>
      </c>
      <c r="U7" s="188">
        <f t="array" ref="U7">SUM((home=S7)*(homescore&gt;visitorscore),(visitor=S7)*(visitorscore&gt;homescore))</f>
        <v>2</v>
      </c>
      <c r="V7" s="188">
        <f t="array" ref="V7">SUM((home=S7)*(homescore=visitorscore)*ISNUMBER(visitorscore),(visitor=S7)*(visitorscore=homescore)*ISNUMBER(homescore))</f>
        <v>2</v>
      </c>
      <c r="W7" s="188">
        <f t="array" ref="W7">SUM((home=S7)*(homescore&lt;visitorscore),(visitor=S7)*(visitorscore&lt;homescore))</f>
        <v>8</v>
      </c>
      <c r="X7" s="199">
        <f t="shared" ref="X7" si="12">SUMIF(home,S7,homescore)+SUMIF(visitor,S7,visitorscore)</f>
        <v>12</v>
      </c>
      <c r="Y7" s="200">
        <f t="shared" ref="Y7" si="13">SUMIF(home,S7,visitorscore)+SUMIF(visitor,S7,homescore)</f>
        <v>40</v>
      </c>
      <c r="Z7" s="201">
        <f t="shared" si="5"/>
        <v>-28</v>
      </c>
      <c r="AA7" s="199">
        <f t="shared" si="6"/>
        <v>8</v>
      </c>
      <c r="AB7" s="187">
        <f t="shared" si="7"/>
        <v>7999720012</v>
      </c>
    </row>
    <row r="8" spans="1:29" x14ac:dyDescent="0.3">
      <c r="A8" s="202" t="str">
        <f>'Gr. A+'!E12</f>
        <v>FC Sandkagen</v>
      </c>
      <c r="B8" s="186"/>
      <c r="C8" s="186"/>
      <c r="E8" s="187">
        <v>5</v>
      </c>
      <c r="S8" s="204" t="str">
        <f t="shared" si="0"/>
        <v>Tobby</v>
      </c>
      <c r="T8" s="198">
        <f t="array" ref="T8">SUM(($A$14:$A$56=S8)*(ISNUMBER($C$14:$C$56)),($B$14:$B$56=S8)*(ISNUMBER($E$14:$E$56)))</f>
        <v>12</v>
      </c>
      <c r="U8" s="188">
        <f t="array" ref="U8">SUM((home=S8)*(homescore&gt;visitorscore),(visitor=S8)*(visitorscore&gt;homescore))</f>
        <v>1</v>
      </c>
      <c r="V8" s="188">
        <f t="array" ref="V8">SUM((home=S8)*(homescore=visitorscore)*ISNUMBER(visitorscore),(visitor=S8)*(visitorscore=homescore)*ISNUMBER(homescore))</f>
        <v>3</v>
      </c>
      <c r="W8" s="188">
        <f t="array" ref="W8">SUM((home=S8)*(homescore&lt;visitorscore),(visitor=S8)*(visitorscore&lt;homescore))</f>
        <v>8</v>
      </c>
      <c r="X8" s="199">
        <f t="shared" ref="X8" si="14">SUMIF(home,S8,homescore)+SUMIF(visitor,S8,visitorscore)</f>
        <v>13</v>
      </c>
      <c r="Y8" s="200">
        <f t="shared" ref="Y8" si="15">SUMIF(home,S8,visitorscore)+SUMIF(visitor,S8,homescore)</f>
        <v>31</v>
      </c>
      <c r="Z8" s="201">
        <f t="shared" si="5"/>
        <v>-18</v>
      </c>
      <c r="AA8" s="199">
        <f t="shared" si="6"/>
        <v>6</v>
      </c>
      <c r="AB8" s="187">
        <f t="shared" si="7"/>
        <v>5999820013</v>
      </c>
    </row>
    <row r="9" spans="1:29" x14ac:dyDescent="0.3">
      <c r="A9" s="202" t="str">
        <f>'Gr. A+'!E13</f>
        <v>Tobby</v>
      </c>
      <c r="B9" s="186"/>
      <c r="C9" s="186"/>
      <c r="E9" s="187">
        <v>6</v>
      </c>
      <c r="S9" s="204" t="str">
        <f t="shared" si="0"/>
        <v>Cheval</v>
      </c>
      <c r="T9" s="198">
        <f t="array" ref="T9">SUM(($A$14:$A$56=S9)*(ISNUMBER($C$14:$C$56)),($B$14:$B$56=S9)*(ISNUMBER($E$14:$E$56)))</f>
        <v>12</v>
      </c>
      <c r="U9" s="188">
        <f t="array" ref="U9">SUM((home=S9)*(homescore&gt;visitorscore),(visitor=S9)*(visitorscore&gt;homescore))</f>
        <v>1</v>
      </c>
      <c r="V9" s="188">
        <f t="array" ref="V9">SUM((home=S9)*(homescore=visitorscore)*ISNUMBER(visitorscore),(visitor=S9)*(visitorscore=homescore)*ISNUMBER(homescore))</f>
        <v>1</v>
      </c>
      <c r="W9" s="188">
        <f t="array" ref="W9">SUM((home=S9)*(homescore&lt;visitorscore),(visitor=S9)*(visitorscore&lt;homescore))</f>
        <v>10</v>
      </c>
      <c r="X9" s="199">
        <f t="shared" ref="X9" si="16">SUMIF(home,S9,homescore)+SUMIF(visitor,S9,visitorscore)</f>
        <v>10</v>
      </c>
      <c r="Y9" s="200">
        <f t="shared" ref="Y9" si="17">SUMIF(home,S9,visitorscore)+SUMIF(visitor,S9,homescore)</f>
        <v>51</v>
      </c>
      <c r="Z9" s="201">
        <f t="shared" si="5"/>
        <v>-41</v>
      </c>
      <c r="AA9" s="199">
        <f t="shared" si="6"/>
        <v>4</v>
      </c>
      <c r="AB9" s="187">
        <f t="shared" si="7"/>
        <v>3999590010</v>
      </c>
    </row>
    <row r="10" spans="1:29" x14ac:dyDescent="0.3">
      <c r="A10" s="202" t="str">
        <f>'Gr. A+'!E14</f>
        <v>Cheval</v>
      </c>
      <c r="B10" s="186"/>
      <c r="C10" s="186"/>
      <c r="E10" s="187">
        <v>7</v>
      </c>
    </row>
    <row r="12" spans="1:29" x14ac:dyDescent="0.3">
      <c r="T12" s="187">
        <f>SUM(T3:T9)</f>
        <v>84</v>
      </c>
    </row>
    <row r="13" spans="1:29" x14ac:dyDescent="0.3">
      <c r="A13" s="205" t="s">
        <v>62</v>
      </c>
      <c r="H13" s="206" t="s">
        <v>63</v>
      </c>
    </row>
    <row r="14" spans="1:29" x14ac:dyDescent="0.3">
      <c r="A14" s="207" t="str">
        <f>'Gr. A'!B8</f>
        <v>DjowGer</v>
      </c>
      <c r="B14" s="208" t="str">
        <f>'Gr. A'!D8</f>
        <v>Sanek</v>
      </c>
      <c r="C14" s="209">
        <f>IF('Gr. A'!E8="","",'Gr. A'!E8)</f>
        <v>4</v>
      </c>
      <c r="D14" s="209" t="s">
        <v>64</v>
      </c>
      <c r="E14" s="209">
        <f>IF('Gr. A'!G8="","",'Gr. A'!G8)</f>
        <v>1</v>
      </c>
      <c r="F14" s="201"/>
      <c r="R14" s="187">
        <f>VLOOKUP(A14,$A$4:$E$10,5,0)</f>
        <v>1</v>
      </c>
      <c r="S14" s="187">
        <f>VLOOKUP(B14,$A$4:$E$10,5,0)</f>
        <v>2</v>
      </c>
      <c r="AC14" s="187">
        <f>VLOOKUP(B14,$A$4:$E$10,5,0)</f>
        <v>2</v>
      </c>
    </row>
    <row r="15" spans="1:29" x14ac:dyDescent="0.3">
      <c r="A15" s="207" t="str">
        <f>'Gr. A'!B9</f>
        <v>DjowGer</v>
      </c>
      <c r="B15" s="208" t="str">
        <f>'Gr. A'!D9</f>
        <v>Schulle</v>
      </c>
      <c r="C15" s="209">
        <f>IF('Gr. A'!E9="","",'Gr. A'!E9)</f>
        <v>5</v>
      </c>
      <c r="D15" s="209" t="s">
        <v>64</v>
      </c>
      <c r="E15" s="209">
        <f>IF('Gr. A'!G9="","",'Gr. A'!G9)</f>
        <v>0</v>
      </c>
      <c r="F15" s="201"/>
      <c r="H15" s="210"/>
      <c r="I15" s="190" t="s">
        <v>51</v>
      </c>
      <c r="J15" s="191" t="s">
        <v>52</v>
      </c>
      <c r="K15" s="191" t="s">
        <v>53</v>
      </c>
      <c r="L15" s="191" t="s">
        <v>54</v>
      </c>
      <c r="M15" s="192" t="s">
        <v>55</v>
      </c>
      <c r="N15" s="193" t="s">
        <v>56</v>
      </c>
      <c r="O15" s="191" t="s">
        <v>57</v>
      </c>
      <c r="P15" s="192" t="s">
        <v>58</v>
      </c>
      <c r="R15" s="187">
        <f t="shared" ref="R15:S55" si="18">VLOOKUP(A15,$A$4:$E$10,5,0)</f>
        <v>1</v>
      </c>
      <c r="S15" s="187">
        <f t="shared" si="18"/>
        <v>3</v>
      </c>
      <c r="AC15" s="187">
        <f t="shared" ref="AC15:AC55" si="19">VLOOKUP(B15,$A$4:$E$10,5,0)</f>
        <v>3</v>
      </c>
    </row>
    <row r="16" spans="1:29" x14ac:dyDescent="0.3">
      <c r="A16" s="207" t="str">
        <f>'Gr. A'!B10</f>
        <v>DjowGer</v>
      </c>
      <c r="B16" s="208" t="str">
        <f>'Gr. A'!D10</f>
        <v>Bromberg</v>
      </c>
      <c r="C16" s="209">
        <f>IF('Gr. A'!E10="","",'Gr. A'!E10)</f>
        <v>4</v>
      </c>
      <c r="D16" s="209" t="s">
        <v>64</v>
      </c>
      <c r="E16" s="209">
        <f>IF('Gr. A'!G10="","",'Gr. A'!G10)</f>
        <v>2</v>
      </c>
      <c r="F16" s="201"/>
      <c r="H16" s="211" t="str">
        <f t="array" ref="H16">INDEX($S$3:$S$9,MATCH(LARGE($AB$3:$AB$9-ROW($AB$3:$AB$9)/COUNT($AB$3:$AB$9),ROW(H16)-ROW(H$16)+1),$AB$3:$AB$9-ROW($AB$3:$AB$9)/COUNT($AB$3:$AB$9),0))</f>
        <v>DjowGer</v>
      </c>
      <c r="I16" s="200">
        <f>VLOOKUP($H16,$S$3:$AA$9,2,0)</f>
        <v>12</v>
      </c>
      <c r="J16" s="188">
        <f>VLOOKUP($H16,$S$3:$AA$9,3,0)</f>
        <v>11</v>
      </c>
      <c r="K16" s="188">
        <f>VLOOKUP($H16,$S$3:$AA$9,4,0)</f>
        <v>1</v>
      </c>
      <c r="L16" s="188">
        <f>VLOOKUP($H16,$S$3:$AA$9,5,0)</f>
        <v>0</v>
      </c>
      <c r="M16" s="199">
        <f>VLOOKUP($H16,$S$3:$AA$9,6,0)</f>
        <v>65</v>
      </c>
      <c r="N16" s="200">
        <f>VLOOKUP($H16,$S$3:$AA$9,7,0)</f>
        <v>7</v>
      </c>
      <c r="O16" s="188">
        <f>VLOOKUP($H16,$S$3:$AA$9,8,0)</f>
        <v>58</v>
      </c>
      <c r="P16" s="199">
        <f>VLOOKUP($H16,$S$3:$AA$9,9,0)</f>
        <v>34</v>
      </c>
      <c r="Q16" s="187">
        <f>VLOOKUP(H16,'Gr. A+'!$E$8:$H$14,3,0)</f>
        <v>0</v>
      </c>
      <c r="R16" s="187">
        <f t="shared" si="18"/>
        <v>1</v>
      </c>
      <c r="S16" s="187">
        <f t="shared" si="18"/>
        <v>4</v>
      </c>
      <c r="AC16" s="187">
        <f t="shared" si="19"/>
        <v>4</v>
      </c>
    </row>
    <row r="17" spans="1:29" x14ac:dyDescent="0.3">
      <c r="A17" s="207" t="str">
        <f>'Gr. A'!B11</f>
        <v>DjowGer</v>
      </c>
      <c r="B17" s="208" t="str">
        <f>'Gr. A'!D11</f>
        <v>FC Sandkagen</v>
      </c>
      <c r="C17" s="209">
        <f>IF('Gr. A'!E11="","",'Gr. A'!E11)</f>
        <v>7</v>
      </c>
      <c r="D17" s="209" t="s">
        <v>64</v>
      </c>
      <c r="E17" s="209">
        <f>IF('Gr. A'!G11="","",'Gr. A'!G11)</f>
        <v>0</v>
      </c>
      <c r="F17" s="201"/>
      <c r="H17" s="211" t="str">
        <f t="array" ref="H17">INDEX($S$3:$S$9,MATCH(LARGE($AB$3:$AB$9-ROW($AB$3:$AB$9)/COUNT($AB$3:$AB$9),ROW(H17)-ROW(H$16)+1),$AB$3:$AB$9-ROW($AB$3:$AB$9)/COUNT($AB$3:$AB$9),0))</f>
        <v>Bromberg</v>
      </c>
      <c r="I17" s="200">
        <f t="shared" ref="I17:I22" si="20">VLOOKUP($H17,$S$3:$AA$9,2,0)</f>
        <v>12</v>
      </c>
      <c r="J17" s="188">
        <f t="shared" ref="J17:J22" si="21">VLOOKUP($H17,$S$3:$AA$9,3,0)</f>
        <v>7</v>
      </c>
      <c r="K17" s="188">
        <f t="shared" ref="K17:K22" si="22">VLOOKUP($H17,$S$3:$AA$9,4,0)</f>
        <v>3</v>
      </c>
      <c r="L17" s="188">
        <f t="shared" ref="L17:L22" si="23">VLOOKUP($H17,$S$3:$AA$9,5,0)</f>
        <v>2</v>
      </c>
      <c r="M17" s="199">
        <f t="shared" ref="M17:M22" si="24">VLOOKUP($H17,$S$3:$AA$9,6,0)</f>
        <v>32</v>
      </c>
      <c r="N17" s="200">
        <f t="shared" ref="N17:N22" si="25">VLOOKUP($H17,$S$3:$AA$9,7,0)</f>
        <v>16</v>
      </c>
      <c r="O17" s="188">
        <f t="shared" ref="O17:O22" si="26">VLOOKUP($H17,$S$3:$AA$9,8,0)</f>
        <v>16</v>
      </c>
      <c r="P17" s="199">
        <f t="shared" ref="P17:P22" si="27">VLOOKUP($H17,$S$3:$AA$9,9,0)</f>
        <v>24</v>
      </c>
      <c r="Q17" s="187">
        <f>VLOOKUP(H17,'Gr. A+'!$E$8:$H$14,3,0)</f>
        <v>0</v>
      </c>
      <c r="R17" s="187">
        <f t="shared" si="18"/>
        <v>1</v>
      </c>
      <c r="S17" s="187">
        <f t="shared" si="18"/>
        <v>5</v>
      </c>
      <c r="AC17" s="187">
        <f t="shared" si="19"/>
        <v>5</v>
      </c>
    </row>
    <row r="18" spans="1:29" x14ac:dyDescent="0.3">
      <c r="A18" s="207" t="str">
        <f>'Gr. A'!B12</f>
        <v>DjowGer</v>
      </c>
      <c r="B18" s="208" t="str">
        <f>'Gr. A'!D12</f>
        <v>Tobby</v>
      </c>
      <c r="C18" s="209">
        <f>IF('Gr. A'!E12="","",'Gr. A'!E12)</f>
        <v>9</v>
      </c>
      <c r="D18" s="209" t="s">
        <v>64</v>
      </c>
      <c r="E18" s="209">
        <f>IF('Gr. A'!G12="","",'Gr. A'!G12)</f>
        <v>0</v>
      </c>
      <c r="F18" s="201"/>
      <c r="H18" s="211" t="str">
        <f t="array" ref="H18">INDEX($S$3:$S$9,MATCH(LARGE($AB$3:$AB$9-ROW($AB$3:$AB$9)/COUNT($AB$3:$AB$9),ROW(H18)-ROW(H$16)+1),$AB$3:$AB$9-ROW($AB$3:$AB$9)/COUNT($AB$3:$AB$9),0))</f>
        <v>Sanek</v>
      </c>
      <c r="I18" s="200">
        <f t="shared" si="20"/>
        <v>12</v>
      </c>
      <c r="J18" s="188">
        <f t="shared" si="21"/>
        <v>7</v>
      </c>
      <c r="K18" s="188">
        <f t="shared" si="22"/>
        <v>3</v>
      </c>
      <c r="L18" s="188">
        <f t="shared" si="23"/>
        <v>2</v>
      </c>
      <c r="M18" s="199">
        <f t="shared" si="24"/>
        <v>26</v>
      </c>
      <c r="N18" s="200">
        <f t="shared" si="25"/>
        <v>18</v>
      </c>
      <c r="O18" s="188">
        <f t="shared" si="26"/>
        <v>8</v>
      </c>
      <c r="P18" s="199">
        <f t="shared" si="27"/>
        <v>24</v>
      </c>
      <c r="Q18" s="187">
        <f>VLOOKUP(H18,'Gr. A+'!$E$8:$H$14,3,0)</f>
        <v>0</v>
      </c>
      <c r="R18" s="187">
        <f t="shared" si="18"/>
        <v>1</v>
      </c>
      <c r="S18" s="187">
        <f t="shared" si="18"/>
        <v>6</v>
      </c>
      <c r="AC18" s="187">
        <f t="shared" si="19"/>
        <v>6</v>
      </c>
    </row>
    <row r="19" spans="1:29" x14ac:dyDescent="0.3">
      <c r="A19" s="207" t="str">
        <f>'Gr. A'!B13</f>
        <v>DjowGer</v>
      </c>
      <c r="B19" s="208" t="str">
        <f>'Gr. A'!D13</f>
        <v>Cheval</v>
      </c>
      <c r="C19" s="209">
        <f>IF('Gr. A'!E13="","",'Gr. A'!E13)</f>
        <v>6</v>
      </c>
      <c r="D19" s="209" t="s">
        <v>64</v>
      </c>
      <c r="E19" s="209">
        <f>IF('Gr. A'!G13="","",'Gr. A'!G13)</f>
        <v>0</v>
      </c>
      <c r="F19" s="201"/>
      <c r="H19" s="211" t="str">
        <f t="array" ref="H19">INDEX($S$3:$S$9,MATCH(LARGE($AB$3:$AB$9-ROW($AB$3:$AB$9)/COUNT($AB$3:$AB$9),ROW(H19)-ROW(H$16)+1),$AB$3:$AB$9-ROW($AB$3:$AB$9)/COUNT($AB$3:$AB$9),0))</f>
        <v>Schulle</v>
      </c>
      <c r="I19" s="200">
        <f t="shared" si="20"/>
        <v>12</v>
      </c>
      <c r="J19" s="188">
        <f t="shared" si="21"/>
        <v>6</v>
      </c>
      <c r="K19" s="188">
        <f t="shared" si="22"/>
        <v>1</v>
      </c>
      <c r="L19" s="188">
        <f t="shared" si="23"/>
        <v>5</v>
      </c>
      <c r="M19" s="199">
        <f t="shared" si="24"/>
        <v>31</v>
      </c>
      <c r="N19" s="200">
        <f t="shared" si="25"/>
        <v>26</v>
      </c>
      <c r="O19" s="188">
        <f t="shared" si="26"/>
        <v>5</v>
      </c>
      <c r="P19" s="199">
        <f t="shared" si="27"/>
        <v>19</v>
      </c>
      <c r="Q19" s="187">
        <f>VLOOKUP(H19,'Gr. A+'!$E$8:$H$14,3,0)</f>
        <v>0</v>
      </c>
      <c r="R19" s="187">
        <f t="shared" si="18"/>
        <v>1</v>
      </c>
      <c r="S19" s="187">
        <f t="shared" si="18"/>
        <v>7</v>
      </c>
      <c r="AC19" s="187">
        <f t="shared" si="19"/>
        <v>7</v>
      </c>
    </row>
    <row r="20" spans="1:29" x14ac:dyDescent="0.3">
      <c r="A20" s="207" t="str">
        <f>'Gr. A'!B14</f>
        <v>Sanek</v>
      </c>
      <c r="B20" s="208" t="str">
        <f>'Gr. A'!D14</f>
        <v>Schulle</v>
      </c>
      <c r="C20" s="209">
        <f>IF('Gr. A'!E14="","",'Gr. A'!E14)</f>
        <v>3</v>
      </c>
      <c r="D20" s="209" t="s">
        <v>64</v>
      </c>
      <c r="E20" s="209">
        <f>IF('Gr. A'!G14="","",'Gr. A'!G14)</f>
        <v>3</v>
      </c>
      <c r="H20" s="211" t="str">
        <f t="array" ref="H20">INDEX($S$3:$S$9,MATCH(LARGE($AB$3:$AB$9-ROW($AB$3:$AB$9)/COUNT($AB$3:$AB$9),ROW(H20)-ROW(H$16)+1),$AB$3:$AB$9-ROW($AB$3:$AB$9)/COUNT($AB$3:$AB$9),0))</f>
        <v>FC Sandkagen</v>
      </c>
      <c r="I20" s="200">
        <f t="shared" si="20"/>
        <v>12</v>
      </c>
      <c r="J20" s="188">
        <f t="shared" si="21"/>
        <v>2</v>
      </c>
      <c r="K20" s="188">
        <f t="shared" si="22"/>
        <v>2</v>
      </c>
      <c r="L20" s="188">
        <f t="shared" si="23"/>
        <v>8</v>
      </c>
      <c r="M20" s="199">
        <f t="shared" si="24"/>
        <v>12</v>
      </c>
      <c r="N20" s="200">
        <f t="shared" si="25"/>
        <v>40</v>
      </c>
      <c r="O20" s="188">
        <f t="shared" si="26"/>
        <v>-28</v>
      </c>
      <c r="P20" s="199">
        <f t="shared" si="27"/>
        <v>8</v>
      </c>
      <c r="Q20" s="187">
        <f>VLOOKUP(H20,'Gr. A+'!$E$8:$H$14,3,0)</f>
        <v>0</v>
      </c>
      <c r="R20" s="187">
        <f t="shared" si="18"/>
        <v>2</v>
      </c>
      <c r="S20" s="187">
        <f t="shared" si="18"/>
        <v>3</v>
      </c>
      <c r="AC20" s="187">
        <f t="shared" si="19"/>
        <v>3</v>
      </c>
    </row>
    <row r="21" spans="1:29" x14ac:dyDescent="0.3">
      <c r="A21" s="207" t="str">
        <f>'Gr. A'!B15</f>
        <v>Sanek</v>
      </c>
      <c r="B21" s="208" t="str">
        <f>'Gr. A'!D15</f>
        <v>Bromberg</v>
      </c>
      <c r="C21" s="209">
        <f>IF('Gr. A'!E15="","",'Gr. A'!E15)</f>
        <v>0</v>
      </c>
      <c r="D21" s="209" t="s">
        <v>64</v>
      </c>
      <c r="E21" s="209">
        <f>IF('Gr. A'!G15="","",'Gr. A'!G15)</f>
        <v>0</v>
      </c>
      <c r="H21" s="211" t="str">
        <f t="array" ref="H21">INDEX($S$3:$S$9,MATCH(LARGE($AB$3:$AB$9-ROW($AB$3:$AB$9)/COUNT($AB$3:$AB$9),ROW(H21)-ROW(H$16)+1),$AB$3:$AB$9-ROW($AB$3:$AB$9)/COUNT($AB$3:$AB$9),0))</f>
        <v>Tobby</v>
      </c>
      <c r="I21" s="200">
        <f t="shared" si="20"/>
        <v>12</v>
      </c>
      <c r="J21" s="188">
        <f t="shared" si="21"/>
        <v>1</v>
      </c>
      <c r="K21" s="188">
        <f t="shared" si="22"/>
        <v>3</v>
      </c>
      <c r="L21" s="188">
        <f t="shared" si="23"/>
        <v>8</v>
      </c>
      <c r="M21" s="199">
        <f t="shared" si="24"/>
        <v>13</v>
      </c>
      <c r="N21" s="200">
        <f t="shared" si="25"/>
        <v>31</v>
      </c>
      <c r="O21" s="188">
        <f t="shared" si="26"/>
        <v>-18</v>
      </c>
      <c r="P21" s="199">
        <f t="shared" si="27"/>
        <v>6</v>
      </c>
      <c r="Q21" s="187">
        <f>VLOOKUP(H21,'Gr. A+'!$E$8:$H$14,3,0)</f>
        <v>0</v>
      </c>
      <c r="R21" s="187">
        <f t="shared" si="18"/>
        <v>2</v>
      </c>
      <c r="S21" s="187">
        <f t="shared" si="18"/>
        <v>4</v>
      </c>
      <c r="AC21" s="187">
        <f t="shared" si="19"/>
        <v>4</v>
      </c>
    </row>
    <row r="22" spans="1:29" x14ac:dyDescent="0.3">
      <c r="A22" s="207" t="str">
        <f>'Gr. A'!B16</f>
        <v>Sanek</v>
      </c>
      <c r="B22" s="208" t="str">
        <f>'Gr. A'!D16</f>
        <v>FC Sandkagen</v>
      </c>
      <c r="C22" s="209">
        <f>IF('Gr. A'!E16="","",'Gr. A'!E16)</f>
        <v>2</v>
      </c>
      <c r="D22" s="209" t="s">
        <v>64</v>
      </c>
      <c r="E22" s="209">
        <f>IF('Gr. A'!G16="","",'Gr. A'!G16)</f>
        <v>0</v>
      </c>
      <c r="H22" s="211" t="str">
        <f t="array" ref="H22">INDEX($S$3:$S$9,MATCH(LARGE($AB$3:$AB$9-ROW($AB$3:$AB$9)/COUNT($AB$3:$AB$9),ROW(H22)-ROW(H$16)+1),$AB$3:$AB$9-ROW($AB$3:$AB$9)/COUNT($AB$3:$AB$9),0))</f>
        <v>Cheval</v>
      </c>
      <c r="I22" s="200">
        <f t="shared" si="20"/>
        <v>12</v>
      </c>
      <c r="J22" s="188">
        <f t="shared" si="21"/>
        <v>1</v>
      </c>
      <c r="K22" s="188">
        <f t="shared" si="22"/>
        <v>1</v>
      </c>
      <c r="L22" s="188">
        <f t="shared" si="23"/>
        <v>10</v>
      </c>
      <c r="M22" s="199">
        <f t="shared" si="24"/>
        <v>10</v>
      </c>
      <c r="N22" s="200">
        <f t="shared" si="25"/>
        <v>51</v>
      </c>
      <c r="O22" s="188">
        <f t="shared" si="26"/>
        <v>-41</v>
      </c>
      <c r="P22" s="199">
        <f t="shared" si="27"/>
        <v>4</v>
      </c>
      <c r="Q22" s="187">
        <f>VLOOKUP(H22,'Gr. A+'!$E$8:$H$14,3,0)</f>
        <v>0</v>
      </c>
      <c r="R22" s="187">
        <f t="shared" si="18"/>
        <v>2</v>
      </c>
      <c r="S22" s="187">
        <f t="shared" si="18"/>
        <v>5</v>
      </c>
      <c r="AC22" s="187">
        <f t="shared" si="19"/>
        <v>5</v>
      </c>
    </row>
    <row r="23" spans="1:29" x14ac:dyDescent="0.3">
      <c r="A23" s="207" t="str">
        <f>'Gr. A'!B17</f>
        <v>Sanek</v>
      </c>
      <c r="B23" s="208" t="str">
        <f>'Gr. A'!D17</f>
        <v>Tobby</v>
      </c>
      <c r="C23" s="209">
        <f>IF('Gr. A'!E17="","",'Gr. A'!E17)</f>
        <v>2</v>
      </c>
      <c r="D23" s="209" t="s">
        <v>64</v>
      </c>
      <c r="E23" s="209">
        <f>IF('Gr. A'!G17="","",'Gr. A'!G17)</f>
        <v>1</v>
      </c>
      <c r="R23" s="187">
        <f t="shared" si="18"/>
        <v>2</v>
      </c>
      <c r="S23" s="187">
        <f t="shared" si="18"/>
        <v>6</v>
      </c>
      <c r="AC23" s="187">
        <f t="shared" si="19"/>
        <v>6</v>
      </c>
    </row>
    <row r="24" spans="1:29" x14ac:dyDescent="0.3">
      <c r="A24" s="207" t="str">
        <f>'Gr. A'!B18</f>
        <v>Sanek</v>
      </c>
      <c r="B24" s="208" t="str">
        <f>'Gr. A'!D18</f>
        <v>Cheval</v>
      </c>
      <c r="C24" s="209">
        <f>IF('Gr. A'!E18="","",'Gr. A'!E18)</f>
        <v>4</v>
      </c>
      <c r="D24" s="209" t="s">
        <v>64</v>
      </c>
      <c r="E24" s="209">
        <f>IF('Gr. A'!G18="","",'Gr. A'!G18)</f>
        <v>2</v>
      </c>
      <c r="R24" s="187">
        <f t="shared" si="18"/>
        <v>2</v>
      </c>
      <c r="S24" s="187">
        <f t="shared" si="18"/>
        <v>7</v>
      </c>
      <c r="AC24" s="187">
        <f t="shared" si="19"/>
        <v>7</v>
      </c>
    </row>
    <row r="25" spans="1:29" x14ac:dyDescent="0.3">
      <c r="A25" s="207" t="str">
        <f>'Gr. A'!B19</f>
        <v>Schulle</v>
      </c>
      <c r="B25" s="208" t="str">
        <f>'Gr. A'!D19</f>
        <v>Bromberg</v>
      </c>
      <c r="C25" s="209">
        <f>IF('Gr. A'!E19="","",'Gr. A'!E19)</f>
        <v>2</v>
      </c>
      <c r="D25" s="209" t="s">
        <v>64</v>
      </c>
      <c r="E25" s="209">
        <f>IF('Gr. A'!G19="","",'Gr. A'!G19)</f>
        <v>4</v>
      </c>
      <c r="R25" s="187">
        <f t="shared" si="18"/>
        <v>3</v>
      </c>
      <c r="S25" s="187">
        <f t="shared" si="18"/>
        <v>4</v>
      </c>
      <c r="AC25" s="187">
        <f t="shared" si="19"/>
        <v>4</v>
      </c>
    </row>
    <row r="26" spans="1:29" x14ac:dyDescent="0.3">
      <c r="A26" s="207" t="str">
        <f>'Gr. A'!B20</f>
        <v>Schulle</v>
      </c>
      <c r="B26" s="208" t="str">
        <f>'Gr. A'!D20</f>
        <v>FC Sandkagen</v>
      </c>
      <c r="C26" s="209">
        <f>IF('Gr. A'!E20="","",'Gr. A'!E20)</f>
        <v>4</v>
      </c>
      <c r="D26" s="209" t="s">
        <v>64</v>
      </c>
      <c r="E26" s="209">
        <f>IF('Gr. A'!G20="","",'Gr. A'!G20)</f>
        <v>1</v>
      </c>
      <c r="R26" s="187">
        <f t="shared" si="18"/>
        <v>3</v>
      </c>
      <c r="S26" s="187">
        <f t="shared" si="18"/>
        <v>5</v>
      </c>
      <c r="AC26" s="187">
        <f t="shared" si="19"/>
        <v>5</v>
      </c>
    </row>
    <row r="27" spans="1:29" x14ac:dyDescent="0.3">
      <c r="A27" s="207" t="str">
        <f>'Gr. A'!B21</f>
        <v>Schulle</v>
      </c>
      <c r="B27" s="208" t="str">
        <f>'Gr. A'!D21</f>
        <v>Tobby</v>
      </c>
      <c r="C27" s="209">
        <f>IF('Gr. A'!E21="","",'Gr. A'!E21)</f>
        <v>2</v>
      </c>
      <c r="D27" s="209" t="s">
        <v>64</v>
      </c>
      <c r="E27" s="209">
        <f>IF('Gr. A'!G21="","",'Gr. A'!G21)</f>
        <v>0</v>
      </c>
      <c r="R27" s="187">
        <f t="shared" si="18"/>
        <v>3</v>
      </c>
      <c r="S27" s="187">
        <f t="shared" si="18"/>
        <v>6</v>
      </c>
      <c r="AC27" s="187">
        <f t="shared" si="19"/>
        <v>6</v>
      </c>
    </row>
    <row r="28" spans="1:29" x14ac:dyDescent="0.3">
      <c r="A28" s="207" t="str">
        <f>'Gr. A'!B22</f>
        <v>Schulle</v>
      </c>
      <c r="B28" s="208" t="str">
        <f>'Gr. A'!D22</f>
        <v>Cheval</v>
      </c>
      <c r="C28" s="209">
        <f>IF('Gr. A'!E22="","",'Gr. A'!E22)</f>
        <v>7</v>
      </c>
      <c r="D28" s="209" t="s">
        <v>64</v>
      </c>
      <c r="E28" s="209">
        <f>IF('Gr. A'!G22="","",'Gr. A'!G22)</f>
        <v>0</v>
      </c>
      <c r="R28" s="187">
        <f t="shared" si="18"/>
        <v>3</v>
      </c>
      <c r="S28" s="187">
        <f t="shared" si="18"/>
        <v>7</v>
      </c>
      <c r="AC28" s="187">
        <f t="shared" si="19"/>
        <v>7</v>
      </c>
    </row>
    <row r="29" spans="1:29" x14ac:dyDescent="0.3">
      <c r="A29" s="207" t="str">
        <f>'Gr. A'!B23</f>
        <v>Bromberg</v>
      </c>
      <c r="B29" s="208" t="str">
        <f>'Gr. A'!D23</f>
        <v>FC Sandkagen</v>
      </c>
      <c r="C29" s="209">
        <f>IF('Gr. A'!E23="","",'Gr. A'!E23)</f>
        <v>4</v>
      </c>
      <c r="D29" s="209" t="s">
        <v>64</v>
      </c>
      <c r="E29" s="209">
        <f>IF('Gr. A'!G23="","",'Gr. A'!G23)</f>
        <v>3</v>
      </c>
      <c r="R29" s="187">
        <f t="shared" si="18"/>
        <v>4</v>
      </c>
      <c r="S29" s="187">
        <f t="shared" si="18"/>
        <v>5</v>
      </c>
      <c r="AB29" s="188"/>
      <c r="AC29" s="187">
        <f t="shared" si="19"/>
        <v>5</v>
      </c>
    </row>
    <row r="30" spans="1:29" x14ac:dyDescent="0.3">
      <c r="A30" s="207" t="str">
        <f>'Gr. A'!B24</f>
        <v>Bromberg</v>
      </c>
      <c r="B30" s="208" t="str">
        <f>'Gr. A'!D24</f>
        <v>Tobby</v>
      </c>
      <c r="C30" s="209">
        <f>IF('Gr. A'!E24="","",'Gr. A'!E24)</f>
        <v>2</v>
      </c>
      <c r="D30" s="209" t="s">
        <v>64</v>
      </c>
      <c r="E30" s="209">
        <f>IF('Gr. A'!G24="","",'Gr. A'!G24)</f>
        <v>2</v>
      </c>
      <c r="R30" s="187">
        <f t="shared" si="18"/>
        <v>4</v>
      </c>
      <c r="S30" s="187">
        <f t="shared" si="18"/>
        <v>6</v>
      </c>
      <c r="AB30" s="188"/>
      <c r="AC30" s="187">
        <f t="shared" si="19"/>
        <v>6</v>
      </c>
    </row>
    <row r="31" spans="1:29" x14ac:dyDescent="0.3">
      <c r="A31" s="207" t="str">
        <f>'Gr. A'!B25</f>
        <v>Bromberg</v>
      </c>
      <c r="B31" s="208" t="str">
        <f>'Gr. A'!D25</f>
        <v>Cheval</v>
      </c>
      <c r="C31" s="209">
        <f>IF('Gr. A'!E25="","",'Gr. A'!E25)</f>
        <v>2</v>
      </c>
      <c r="D31" s="209" t="s">
        <v>64</v>
      </c>
      <c r="E31" s="209">
        <f>IF('Gr. A'!G25="","",'Gr. A'!G25)</f>
        <v>0</v>
      </c>
      <c r="R31" s="187">
        <f t="shared" si="18"/>
        <v>4</v>
      </c>
      <c r="S31" s="187">
        <f t="shared" si="18"/>
        <v>7</v>
      </c>
      <c r="AB31" s="188"/>
      <c r="AC31" s="187">
        <f t="shared" si="19"/>
        <v>7</v>
      </c>
    </row>
    <row r="32" spans="1:29" x14ac:dyDescent="0.3">
      <c r="A32" s="207" t="str">
        <f>'Gr. A'!B26</f>
        <v>FC Sandkagen</v>
      </c>
      <c r="B32" s="208" t="str">
        <f>'Gr. A'!D26</f>
        <v>Tobby</v>
      </c>
      <c r="C32" s="209">
        <f>IF('Gr. A'!E26="","",'Gr. A'!E26)</f>
        <v>0</v>
      </c>
      <c r="D32" s="209" t="s">
        <v>64</v>
      </c>
      <c r="E32" s="209">
        <f>IF('Gr. A'!G26="","",'Gr. A'!G26)</f>
        <v>2</v>
      </c>
      <c r="R32" s="187">
        <f t="shared" si="18"/>
        <v>5</v>
      </c>
      <c r="S32" s="187">
        <f t="shared" si="18"/>
        <v>6</v>
      </c>
      <c r="AC32" s="187">
        <f t="shared" si="19"/>
        <v>6</v>
      </c>
    </row>
    <row r="33" spans="1:29" x14ac:dyDescent="0.3">
      <c r="A33" s="207" t="str">
        <f>'Gr. A'!B27</f>
        <v>FC Sandkagen</v>
      </c>
      <c r="B33" s="208" t="str">
        <f>'Gr. A'!D27</f>
        <v>Cheval</v>
      </c>
      <c r="C33" s="209">
        <f>IF('Gr. A'!E27="","",'Gr. A'!E27)</f>
        <v>3</v>
      </c>
      <c r="D33" s="209" t="s">
        <v>64</v>
      </c>
      <c r="E33" s="209">
        <f>IF('Gr. A'!G27="","",'Gr. A'!G27)</f>
        <v>1</v>
      </c>
      <c r="R33" s="187">
        <f t="shared" si="18"/>
        <v>5</v>
      </c>
      <c r="S33" s="187">
        <f t="shared" si="18"/>
        <v>7</v>
      </c>
      <c r="AC33" s="187">
        <f t="shared" si="19"/>
        <v>7</v>
      </c>
    </row>
    <row r="34" spans="1:29" x14ac:dyDescent="0.3">
      <c r="A34" s="207" t="str">
        <f>'Gr. A'!B28</f>
        <v>Tobby</v>
      </c>
      <c r="B34" s="208" t="str">
        <f>'Gr. A'!D28</f>
        <v>Cheval</v>
      </c>
      <c r="C34" s="209">
        <f>IF('Gr. A'!E28="","",'Gr. A'!E28)</f>
        <v>3</v>
      </c>
      <c r="D34" s="209" t="s">
        <v>64</v>
      </c>
      <c r="E34" s="209">
        <f>IF('Gr. A'!G28="","",'Gr. A'!G28)</f>
        <v>3</v>
      </c>
      <c r="R34" s="187">
        <f t="shared" si="18"/>
        <v>6</v>
      </c>
      <c r="S34" s="187">
        <f t="shared" si="18"/>
        <v>7</v>
      </c>
      <c r="AC34" s="187">
        <f t="shared" si="19"/>
        <v>7</v>
      </c>
    </row>
    <row r="35" spans="1:29" x14ac:dyDescent="0.3">
      <c r="A35" s="207" t="str">
        <f>'Gr. A'!J8</f>
        <v>Sanek</v>
      </c>
      <c r="B35" s="208" t="str">
        <f>'Gr. A'!L8</f>
        <v>DjowGer</v>
      </c>
      <c r="C35" s="209">
        <f>IF('Gr. A'!M8="","",'Gr. A'!M8)</f>
        <v>2</v>
      </c>
      <c r="D35" s="209" t="s">
        <v>64</v>
      </c>
      <c r="E35" s="209">
        <f>IF('Gr. A'!O8="","",'Gr. A'!O8)</f>
        <v>2</v>
      </c>
      <c r="R35" s="212">
        <f t="shared" si="18"/>
        <v>2</v>
      </c>
      <c r="S35" s="212">
        <f t="shared" si="18"/>
        <v>1</v>
      </c>
      <c r="AC35" s="212">
        <f t="shared" si="19"/>
        <v>1</v>
      </c>
    </row>
    <row r="36" spans="1:29" x14ac:dyDescent="0.3">
      <c r="A36" s="207" t="str">
        <f>'Gr. A'!J9</f>
        <v>Schulle</v>
      </c>
      <c r="B36" s="208" t="str">
        <f>'Gr. A'!L9</f>
        <v>DjowGer</v>
      </c>
      <c r="C36" s="209">
        <f>IF('Gr. A'!M9="","",'Gr. A'!M9)</f>
        <v>1</v>
      </c>
      <c r="D36" s="209" t="s">
        <v>64</v>
      </c>
      <c r="E36" s="209">
        <f>IF('Gr. A'!O9="","",'Gr. A'!O9)</f>
        <v>6</v>
      </c>
      <c r="R36" s="212">
        <f t="shared" si="18"/>
        <v>3</v>
      </c>
      <c r="S36" s="212">
        <f t="shared" si="18"/>
        <v>1</v>
      </c>
      <c r="AC36" s="212">
        <f t="shared" si="19"/>
        <v>1</v>
      </c>
    </row>
    <row r="37" spans="1:29" x14ac:dyDescent="0.3">
      <c r="A37" s="207" t="str">
        <f>'Gr. A'!J10</f>
        <v>Bromberg</v>
      </c>
      <c r="B37" s="208" t="str">
        <f>'Gr. A'!L10</f>
        <v>DjowGer</v>
      </c>
      <c r="C37" s="209">
        <f>IF('Gr. A'!M10="","",'Gr. A'!M10)</f>
        <v>0</v>
      </c>
      <c r="D37" s="209" t="s">
        <v>64</v>
      </c>
      <c r="E37" s="209">
        <f>IF('Gr. A'!O10="","",'Gr. A'!O10)</f>
        <v>1</v>
      </c>
      <c r="R37" s="212">
        <f t="shared" si="18"/>
        <v>4</v>
      </c>
      <c r="S37" s="212">
        <f t="shared" si="18"/>
        <v>1</v>
      </c>
      <c r="AC37" s="212">
        <f t="shared" si="19"/>
        <v>1</v>
      </c>
    </row>
    <row r="38" spans="1:29" x14ac:dyDescent="0.3">
      <c r="A38" s="207" t="str">
        <f>'Gr. A'!J11</f>
        <v>FC Sandkagen</v>
      </c>
      <c r="B38" s="208" t="str">
        <f>'Gr. A'!L11</f>
        <v>DjowGer</v>
      </c>
      <c r="C38" s="209">
        <f>IF('Gr. A'!M11="","",'Gr. A'!M11)</f>
        <v>0</v>
      </c>
      <c r="D38" s="209" t="s">
        <v>64</v>
      </c>
      <c r="E38" s="209">
        <f>IF('Gr. A'!O11="","",'Gr. A'!O11)</f>
        <v>9</v>
      </c>
      <c r="R38" s="212">
        <f t="shared" si="18"/>
        <v>5</v>
      </c>
      <c r="S38" s="212">
        <f t="shared" si="18"/>
        <v>1</v>
      </c>
      <c r="AC38" s="212">
        <f t="shared" si="19"/>
        <v>1</v>
      </c>
    </row>
    <row r="39" spans="1:29" x14ac:dyDescent="0.3">
      <c r="A39" s="207" t="str">
        <f>'Gr. A'!J12</f>
        <v>Tobby</v>
      </c>
      <c r="B39" s="208" t="str">
        <f>'Gr. A'!L12</f>
        <v>DjowGer</v>
      </c>
      <c r="C39" s="209">
        <f>IF('Gr. A'!M12="","",'Gr. A'!M12)</f>
        <v>1</v>
      </c>
      <c r="D39" s="209" t="s">
        <v>64</v>
      </c>
      <c r="E39" s="209">
        <f>IF('Gr. A'!O12="","",'Gr. A'!O12)</f>
        <v>4</v>
      </c>
      <c r="R39" s="212">
        <f t="shared" si="18"/>
        <v>6</v>
      </c>
      <c r="S39" s="212">
        <f t="shared" si="18"/>
        <v>1</v>
      </c>
      <c r="AC39" s="212">
        <f t="shared" si="19"/>
        <v>1</v>
      </c>
    </row>
    <row r="40" spans="1:29" x14ac:dyDescent="0.3">
      <c r="A40" s="207" t="str">
        <f>'Gr. A'!J13</f>
        <v>Cheval</v>
      </c>
      <c r="B40" s="208" t="str">
        <f>'Gr. A'!L13</f>
        <v>DjowGer</v>
      </c>
      <c r="C40" s="209">
        <f>IF('Gr. A'!M13="","",'Gr. A'!M13)</f>
        <v>0</v>
      </c>
      <c r="D40" s="209" t="s">
        <v>64</v>
      </c>
      <c r="E40" s="209">
        <f>IF('Gr. A'!O13="","",'Gr. A'!O13)</f>
        <v>8</v>
      </c>
      <c r="R40" s="212">
        <f t="shared" si="18"/>
        <v>7</v>
      </c>
      <c r="S40" s="212">
        <f t="shared" si="18"/>
        <v>1</v>
      </c>
      <c r="AC40" s="212">
        <f t="shared" si="19"/>
        <v>1</v>
      </c>
    </row>
    <row r="41" spans="1:29" x14ac:dyDescent="0.3">
      <c r="A41" s="207" t="str">
        <f>'Gr. A'!J14</f>
        <v>Schulle</v>
      </c>
      <c r="B41" s="208" t="str">
        <f>'Gr. A'!L14</f>
        <v>Sanek</v>
      </c>
      <c r="C41" s="209">
        <f>IF('Gr. A'!M14="","",'Gr. A'!M14)</f>
        <v>0</v>
      </c>
      <c r="D41" s="209" t="s">
        <v>64</v>
      </c>
      <c r="E41" s="209">
        <f>IF('Gr. A'!O14="","",'Gr. A'!O14)</f>
        <v>1</v>
      </c>
      <c r="R41" s="212">
        <f t="shared" si="18"/>
        <v>3</v>
      </c>
      <c r="S41" s="212">
        <f t="shared" si="18"/>
        <v>2</v>
      </c>
      <c r="AC41" s="212">
        <f t="shared" si="19"/>
        <v>2</v>
      </c>
    </row>
    <row r="42" spans="1:29" x14ac:dyDescent="0.3">
      <c r="A42" s="207" t="str">
        <f>'Gr. A'!J15</f>
        <v>Bromberg</v>
      </c>
      <c r="B42" s="208" t="str">
        <f>'Gr. A'!L15</f>
        <v>Sanek</v>
      </c>
      <c r="C42" s="209">
        <f>IF('Gr. A'!M15="","",'Gr. A'!M15)</f>
        <v>3</v>
      </c>
      <c r="D42" s="209" t="s">
        <v>64</v>
      </c>
      <c r="E42" s="209">
        <f>IF('Gr. A'!O15="","",'Gr. A'!O15)</f>
        <v>1</v>
      </c>
      <c r="R42" s="212">
        <f t="shared" si="18"/>
        <v>4</v>
      </c>
      <c r="S42" s="212">
        <f t="shared" si="18"/>
        <v>2</v>
      </c>
      <c r="AC42" s="212">
        <f t="shared" si="19"/>
        <v>2</v>
      </c>
    </row>
    <row r="43" spans="1:29" x14ac:dyDescent="0.3">
      <c r="A43" s="207" t="str">
        <f>'Gr. A'!J16</f>
        <v>FC Sandkagen</v>
      </c>
      <c r="B43" s="208" t="str">
        <f>'Gr. A'!L16</f>
        <v>Sanek</v>
      </c>
      <c r="C43" s="209">
        <f>IF('Gr. A'!M16="","",'Gr. A'!M16)</f>
        <v>0</v>
      </c>
      <c r="D43" s="209" t="s">
        <v>64</v>
      </c>
      <c r="E43" s="209">
        <f>IF('Gr. A'!O16="","",'Gr. A'!O16)</f>
        <v>3</v>
      </c>
      <c r="R43" s="212">
        <f t="shared" si="18"/>
        <v>5</v>
      </c>
      <c r="S43" s="212">
        <f t="shared" si="18"/>
        <v>2</v>
      </c>
      <c r="AC43" s="212">
        <f t="shared" si="19"/>
        <v>2</v>
      </c>
    </row>
    <row r="44" spans="1:29" x14ac:dyDescent="0.3">
      <c r="A44" s="207" t="str">
        <f>'Gr. A'!J17</f>
        <v>Tobby</v>
      </c>
      <c r="B44" s="208" t="str">
        <f>'Gr. A'!L17</f>
        <v>Sanek</v>
      </c>
      <c r="C44" s="209">
        <f>IF('Gr. A'!M17="","",'Gr. A'!M17)</f>
        <v>2</v>
      </c>
      <c r="D44" s="209" t="s">
        <v>64</v>
      </c>
      <c r="E44" s="209">
        <f>IF('Gr. A'!O17="","",'Gr. A'!O17)</f>
        <v>4</v>
      </c>
      <c r="R44" s="212">
        <f t="shared" si="18"/>
        <v>6</v>
      </c>
      <c r="S44" s="212">
        <f t="shared" si="18"/>
        <v>2</v>
      </c>
      <c r="AC44" s="212">
        <f t="shared" si="19"/>
        <v>2</v>
      </c>
    </row>
    <row r="45" spans="1:29" x14ac:dyDescent="0.3">
      <c r="A45" s="207" t="str">
        <f>'Gr. A'!J18</f>
        <v>Cheval</v>
      </c>
      <c r="B45" s="208" t="str">
        <f>'Gr. A'!L18</f>
        <v>Sanek</v>
      </c>
      <c r="C45" s="209">
        <f>IF('Gr. A'!M18="","",'Gr. A'!M18)</f>
        <v>1</v>
      </c>
      <c r="D45" s="209" t="s">
        <v>64</v>
      </c>
      <c r="E45" s="209">
        <f>IF('Gr. A'!O18="","",'Gr. A'!O18)</f>
        <v>3</v>
      </c>
      <c r="R45" s="212">
        <f t="shared" si="18"/>
        <v>7</v>
      </c>
      <c r="S45" s="212">
        <f t="shared" si="18"/>
        <v>2</v>
      </c>
      <c r="AC45" s="212">
        <f t="shared" si="19"/>
        <v>2</v>
      </c>
    </row>
    <row r="46" spans="1:29" x14ac:dyDescent="0.3">
      <c r="A46" s="207" t="str">
        <f>'Gr. A'!J19</f>
        <v>Bromberg</v>
      </c>
      <c r="B46" s="208" t="str">
        <f>'Gr. A'!L19</f>
        <v>Schulle</v>
      </c>
      <c r="C46" s="209">
        <f>IF('Gr. A'!M19="","",'Gr. A'!M19)</f>
        <v>5</v>
      </c>
      <c r="D46" s="209" t="s">
        <v>64</v>
      </c>
      <c r="E46" s="209">
        <f>IF('Gr. A'!O19="","",'Gr. A'!O19)</f>
        <v>1</v>
      </c>
      <c r="R46" s="212">
        <f t="shared" si="18"/>
        <v>4</v>
      </c>
      <c r="S46" s="212">
        <f t="shared" si="18"/>
        <v>3</v>
      </c>
      <c r="AC46" s="212">
        <f t="shared" si="19"/>
        <v>3</v>
      </c>
    </row>
    <row r="47" spans="1:29" x14ac:dyDescent="0.3">
      <c r="A47" s="207" t="str">
        <f>'Gr. A'!J20</f>
        <v>FC Sandkagen</v>
      </c>
      <c r="B47" s="208" t="str">
        <f>'Gr. A'!L20</f>
        <v>Schulle</v>
      </c>
      <c r="C47" s="209">
        <f>IF('Gr. A'!M20="","",'Gr. A'!M20)</f>
        <v>0</v>
      </c>
      <c r="D47" s="209" t="s">
        <v>64</v>
      </c>
      <c r="E47" s="209">
        <f>IF('Gr. A'!O20="","",'Gr. A'!O20)</f>
        <v>5</v>
      </c>
      <c r="R47" s="212">
        <f t="shared" si="18"/>
        <v>5</v>
      </c>
      <c r="S47" s="212">
        <f t="shared" si="18"/>
        <v>3</v>
      </c>
      <c r="AC47" s="212">
        <f t="shared" si="19"/>
        <v>3</v>
      </c>
    </row>
    <row r="48" spans="1:29" x14ac:dyDescent="0.3">
      <c r="A48" s="207" t="str">
        <f>'Gr. A'!J21</f>
        <v>Tobby</v>
      </c>
      <c r="B48" s="208" t="str">
        <f>'Gr. A'!L21</f>
        <v>Schulle</v>
      </c>
      <c r="C48" s="209">
        <f>IF('Gr. A'!M21="","",'Gr. A'!M21)</f>
        <v>0</v>
      </c>
      <c r="D48" s="209" t="s">
        <v>64</v>
      </c>
      <c r="E48" s="209">
        <f>IF('Gr. A'!O21="","",'Gr. A'!O21)</f>
        <v>1</v>
      </c>
      <c r="R48" s="212">
        <f t="shared" si="18"/>
        <v>6</v>
      </c>
      <c r="S48" s="212">
        <f t="shared" si="18"/>
        <v>3</v>
      </c>
      <c r="AC48" s="212">
        <f t="shared" si="19"/>
        <v>3</v>
      </c>
    </row>
    <row r="49" spans="1:29" x14ac:dyDescent="0.3">
      <c r="A49" s="207" t="str">
        <f>'Gr. A'!J22</f>
        <v>Cheval</v>
      </c>
      <c r="B49" s="208" t="str">
        <f>'Gr. A'!L22</f>
        <v>Schulle</v>
      </c>
      <c r="C49" s="209">
        <f>IF('Gr. A'!M22="","",'Gr. A'!M22)</f>
        <v>1</v>
      </c>
      <c r="D49" s="209" t="s">
        <v>64</v>
      </c>
      <c r="E49" s="209">
        <f>IF('Gr. A'!O22="","",'Gr. A'!O22)</f>
        <v>5</v>
      </c>
      <c r="R49" s="212">
        <f t="shared" si="18"/>
        <v>7</v>
      </c>
      <c r="S49" s="212">
        <f t="shared" si="18"/>
        <v>3</v>
      </c>
      <c r="AC49" s="212">
        <f t="shared" si="19"/>
        <v>3</v>
      </c>
    </row>
    <row r="50" spans="1:29" x14ac:dyDescent="0.3">
      <c r="A50" s="207" t="str">
        <f>'Gr. A'!J23</f>
        <v>FC Sandkagen</v>
      </c>
      <c r="B50" s="208" t="str">
        <f>'Gr. A'!L23</f>
        <v>Bromberg</v>
      </c>
      <c r="C50" s="209">
        <f>IF('Gr. A'!M23="","",'Gr. A'!M23)</f>
        <v>2</v>
      </c>
      <c r="D50" s="209" t="s">
        <v>64</v>
      </c>
      <c r="E50" s="209">
        <f>IF('Gr. A'!O23="","",'Gr. A'!O23)</f>
        <v>2</v>
      </c>
      <c r="R50" s="212">
        <f t="shared" si="18"/>
        <v>5</v>
      </c>
      <c r="S50" s="212">
        <f t="shared" si="18"/>
        <v>4</v>
      </c>
      <c r="AC50" s="212">
        <f t="shared" si="19"/>
        <v>4</v>
      </c>
    </row>
    <row r="51" spans="1:29" x14ac:dyDescent="0.3">
      <c r="A51" s="207" t="str">
        <f>'Gr. A'!J24</f>
        <v>Tobby</v>
      </c>
      <c r="B51" s="208" t="str">
        <f>'Gr. A'!L24</f>
        <v>Bromberg</v>
      </c>
      <c r="C51" s="209">
        <f>IF('Gr. A'!M24="","",'Gr. A'!M24)</f>
        <v>0</v>
      </c>
      <c r="D51" s="209" t="s">
        <v>64</v>
      </c>
      <c r="E51" s="209">
        <f>IF('Gr. A'!O24="","",'Gr. A'!O24)</f>
        <v>1</v>
      </c>
      <c r="R51" s="212">
        <f t="shared" si="18"/>
        <v>6</v>
      </c>
      <c r="S51" s="212">
        <f t="shared" si="18"/>
        <v>4</v>
      </c>
      <c r="AC51" s="212">
        <f t="shared" si="19"/>
        <v>4</v>
      </c>
    </row>
    <row r="52" spans="1:29" x14ac:dyDescent="0.3">
      <c r="A52" s="207" t="str">
        <f>'Gr. A'!J25</f>
        <v>Cheval</v>
      </c>
      <c r="B52" s="208" t="str">
        <f>'Gr. A'!L25</f>
        <v>Bromberg</v>
      </c>
      <c r="C52" s="209">
        <f>IF('Gr. A'!M25="","",'Gr. A'!M25)</f>
        <v>0</v>
      </c>
      <c r="D52" s="209" t="s">
        <v>64</v>
      </c>
      <c r="E52" s="209">
        <f>IF('Gr. A'!O25="","",'Gr. A'!O25)</f>
        <v>7</v>
      </c>
      <c r="R52" s="212">
        <f t="shared" si="18"/>
        <v>7</v>
      </c>
      <c r="S52" s="212">
        <f t="shared" si="18"/>
        <v>4</v>
      </c>
      <c r="AC52" s="212">
        <f t="shared" si="19"/>
        <v>4</v>
      </c>
    </row>
    <row r="53" spans="1:29" x14ac:dyDescent="0.3">
      <c r="A53" s="207" t="str">
        <f>'Gr. A'!J26</f>
        <v>Tobby</v>
      </c>
      <c r="B53" s="208" t="str">
        <f>'Gr. A'!L26</f>
        <v>FC Sandkagen</v>
      </c>
      <c r="C53" s="209">
        <f>IF('Gr. A'!M26="","",'Gr. A'!M26)</f>
        <v>1</v>
      </c>
      <c r="D53" s="209" t="s">
        <v>64</v>
      </c>
      <c r="E53" s="209">
        <f>IF('Gr. A'!O26="","",'Gr. A'!O26)</f>
        <v>1</v>
      </c>
      <c r="R53" s="212">
        <f t="shared" si="18"/>
        <v>6</v>
      </c>
      <c r="S53" s="212">
        <f t="shared" si="18"/>
        <v>5</v>
      </c>
      <c r="AC53" s="212">
        <f t="shared" si="19"/>
        <v>5</v>
      </c>
    </row>
    <row r="54" spans="1:29" x14ac:dyDescent="0.3">
      <c r="A54" s="207" t="str">
        <f>'Gr. A'!J27</f>
        <v>Cheval</v>
      </c>
      <c r="B54" s="208" t="str">
        <f>'Gr. A'!L27</f>
        <v>FC Sandkagen</v>
      </c>
      <c r="C54" s="209">
        <f>IF('Gr. A'!M27="","",'Gr. A'!M27)</f>
        <v>0</v>
      </c>
      <c r="D54" s="209" t="s">
        <v>64</v>
      </c>
      <c r="E54" s="209">
        <f>IF('Gr. A'!O27="","",'Gr. A'!O27)</f>
        <v>2</v>
      </c>
      <c r="R54" s="212">
        <f t="shared" si="18"/>
        <v>7</v>
      </c>
      <c r="S54" s="212">
        <f t="shared" si="18"/>
        <v>5</v>
      </c>
      <c r="AC54" s="212">
        <f t="shared" si="19"/>
        <v>5</v>
      </c>
    </row>
    <row r="55" spans="1:29" x14ac:dyDescent="0.3">
      <c r="A55" s="207" t="str">
        <f>'Gr. A'!J28</f>
        <v>Cheval</v>
      </c>
      <c r="B55" s="208" t="str">
        <f>'Gr. A'!L28</f>
        <v>Tobby</v>
      </c>
      <c r="C55" s="209">
        <f>IF('Gr. A'!M28="","",'Gr. A'!M28)</f>
        <v>2</v>
      </c>
      <c r="D55" s="209" t="s">
        <v>64</v>
      </c>
      <c r="E55" s="209">
        <f>IF('Gr. A'!O28="","",'Gr. A'!O28)</f>
        <v>1</v>
      </c>
      <c r="R55" s="212">
        <f t="shared" si="18"/>
        <v>7</v>
      </c>
      <c r="S55" s="212">
        <f t="shared" si="18"/>
        <v>6</v>
      </c>
      <c r="AC55" s="212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workbookViewId="0"/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7" t="s">
        <v>36</v>
      </c>
      <c r="C1" s="278"/>
      <c r="D1" s="279"/>
      <c r="E1" s="3"/>
      <c r="F1" s="3"/>
      <c r="G1" s="3"/>
      <c r="H1" s="3"/>
      <c r="I1" s="3"/>
      <c r="J1" s="280" t="s">
        <v>36</v>
      </c>
      <c r="K1" s="281"/>
      <c r="L1" s="282"/>
    </row>
    <row r="2" spans="1:15" ht="19.5" customHeight="1" thickBot="1" x14ac:dyDescent="0.35">
      <c r="A2" s="6"/>
      <c r="B2" s="274" t="str">
        <f>'Gr. B+'!E8</f>
        <v>Bomb</v>
      </c>
      <c r="C2" s="275"/>
      <c r="D2" s="276"/>
      <c r="E2" s="283" t="str">
        <f>IFERROR('Gr. B+'!D2,"-")</f>
        <v>Group B</v>
      </c>
      <c r="F2" s="284"/>
      <c r="G2" s="284"/>
      <c r="H2" s="284"/>
      <c r="I2" s="285"/>
      <c r="J2" s="274" t="str">
        <f>'Gr. B+'!E11</f>
        <v>Paider</v>
      </c>
      <c r="K2" s="275"/>
      <c r="L2" s="276"/>
    </row>
    <row r="3" spans="1:15" ht="19.5" customHeight="1" thickBot="1" x14ac:dyDescent="0.35">
      <c r="A3" s="6"/>
      <c r="B3" s="274" t="str">
        <f>'Gr. B+'!E9</f>
        <v>Klaris</v>
      </c>
      <c r="C3" s="275"/>
      <c r="D3" s="276"/>
      <c r="E3" s="283"/>
      <c r="F3" s="284"/>
      <c r="G3" s="284"/>
      <c r="H3" s="284"/>
      <c r="I3" s="285"/>
      <c r="J3" s="274" t="str">
        <f>'Gr. B+'!E12</f>
        <v>GoaGuru</v>
      </c>
      <c r="K3" s="275"/>
      <c r="L3" s="276"/>
    </row>
    <row r="4" spans="1:15" ht="19.5" customHeight="1" thickBot="1" x14ac:dyDescent="0.35">
      <c r="A4" s="6"/>
      <c r="B4" s="274" t="str">
        <f>'Gr. B+'!E10</f>
        <v>AndYpsilon</v>
      </c>
      <c r="C4" s="275"/>
      <c r="D4" s="276"/>
      <c r="E4" s="6"/>
      <c r="F4" s="6"/>
      <c r="G4" s="6"/>
      <c r="H4" s="6"/>
      <c r="I4" s="6"/>
      <c r="J4" s="274" t="str">
        <f>'Gr. B+'!E13</f>
        <v>Fifko</v>
      </c>
      <c r="K4" s="275"/>
      <c r="L4" s="276"/>
    </row>
    <row r="5" spans="1:15" ht="19.5" customHeight="1" thickBot="1" x14ac:dyDescent="0.5">
      <c r="A5" s="1"/>
      <c r="B5" s="1"/>
      <c r="C5" s="1"/>
      <c r="D5" s="1"/>
      <c r="E5" s="2"/>
    </row>
    <row r="6" spans="1:15" s="49" customFormat="1" ht="19.95" customHeight="1" thickBot="1" x14ac:dyDescent="0.35">
      <c r="A6" s="214" t="s">
        <v>18</v>
      </c>
      <c r="B6" s="214" t="s">
        <v>15</v>
      </c>
      <c r="C6" s="214"/>
      <c r="D6" s="214" t="s">
        <v>16</v>
      </c>
      <c r="E6" s="273" t="s">
        <v>17</v>
      </c>
      <c r="F6" s="273"/>
      <c r="G6" s="273"/>
      <c r="H6" s="3"/>
      <c r="I6" s="214" t="s">
        <v>18</v>
      </c>
      <c r="J6" s="214" t="s">
        <v>15</v>
      </c>
      <c r="K6" s="214"/>
      <c r="L6" s="214" t="s">
        <v>16</v>
      </c>
      <c r="M6" s="273" t="s">
        <v>17</v>
      </c>
      <c r="N6" s="273"/>
      <c r="O6" s="273"/>
    </row>
    <row r="7" spans="1:15" s="49" customFormat="1" ht="18" customHeight="1" thickBot="1" x14ac:dyDescent="0.35">
      <c r="A7" s="4" t="s">
        <v>0</v>
      </c>
      <c r="B7" s="4" t="str">
        <f>IFERROR(VLOOKUP('Gr. B+'!C16,'Gr. B+'!$D$8:$E$13,2,0),"-")</f>
        <v>Bomb</v>
      </c>
      <c r="C7" s="5" t="s">
        <v>19</v>
      </c>
      <c r="D7" s="4" t="str">
        <f>IFERROR(VLOOKUP('Gr. B+'!E16,'Gr. B+'!$D$8:$E$13,2,0),"-")</f>
        <v>Klaris</v>
      </c>
      <c r="E7" s="4">
        <v>3</v>
      </c>
      <c r="F7" s="5" t="s">
        <v>19</v>
      </c>
      <c r="G7" s="4">
        <v>0</v>
      </c>
      <c r="H7" s="6"/>
      <c r="I7" s="4" t="s">
        <v>20</v>
      </c>
      <c r="J7" s="4" t="str">
        <f>IFERROR(VLOOKUP('Gr. B+'!H16,'Gr. B+'!$D$8:$E$13,2,0),"-")</f>
        <v>Klaris</v>
      </c>
      <c r="K7" s="5" t="s">
        <v>19</v>
      </c>
      <c r="L7" s="4" t="str">
        <f>IFERROR(VLOOKUP('Gr. B+'!J16,'Gr. B+'!$D$8:$E$13,2,0),"-")</f>
        <v>Bomb</v>
      </c>
      <c r="M7" s="4">
        <v>1</v>
      </c>
      <c r="N7" s="5" t="s">
        <v>19</v>
      </c>
      <c r="O7" s="4">
        <v>0</v>
      </c>
    </row>
    <row r="8" spans="1:15" s="49" customFormat="1" ht="18" customHeight="1" thickBot="1" x14ac:dyDescent="0.35">
      <c r="A8" s="4" t="s">
        <v>1</v>
      </c>
      <c r="B8" s="4" t="str">
        <f>IFERROR(VLOOKUP('Gr. B+'!C17,'Gr. B+'!$D$8:$E$13,2,0),"-")</f>
        <v>Bomb</v>
      </c>
      <c r="C8" s="5" t="s">
        <v>19</v>
      </c>
      <c r="D8" s="4" t="str">
        <f>IFERROR(VLOOKUP('Gr. B+'!E17,'Gr. B+'!$D$8:$E$13,2,0),"-")</f>
        <v>AndYpsilon</v>
      </c>
      <c r="E8" s="4">
        <v>2</v>
      </c>
      <c r="F8" s="5" t="s">
        <v>19</v>
      </c>
      <c r="G8" s="4">
        <v>2</v>
      </c>
      <c r="H8" s="6"/>
      <c r="I8" s="4" t="s">
        <v>21</v>
      </c>
      <c r="J8" s="4" t="str">
        <f>IFERROR(VLOOKUP('Gr. B+'!H17,'Gr. B+'!$D$8:$E$13,2,0),"-")</f>
        <v>AndYpsilon</v>
      </c>
      <c r="K8" s="5" t="s">
        <v>19</v>
      </c>
      <c r="L8" s="4" t="str">
        <f>IFERROR(VLOOKUP('Gr. B+'!J17,'Gr. B+'!$D$8:$E$13,2,0),"-")</f>
        <v>Bomb</v>
      </c>
      <c r="M8" s="4">
        <v>2</v>
      </c>
      <c r="N8" s="5" t="s">
        <v>19</v>
      </c>
      <c r="O8" s="4">
        <v>3</v>
      </c>
    </row>
    <row r="9" spans="1:15" s="49" customFormat="1" ht="18" customHeight="1" thickBot="1" x14ac:dyDescent="0.35">
      <c r="A9" s="4" t="s">
        <v>2</v>
      </c>
      <c r="B9" s="4" t="str">
        <f>IFERROR(VLOOKUP('Gr. B+'!C18,'Gr. B+'!$D$8:$E$13,2,0),"-")</f>
        <v>Bomb</v>
      </c>
      <c r="C9" s="5" t="s">
        <v>19</v>
      </c>
      <c r="D9" s="4" t="str">
        <f>IFERROR(VLOOKUP('Gr. B+'!E18,'Gr. B+'!$D$8:$E$13,2,0),"-")</f>
        <v>Paider</v>
      </c>
      <c r="E9" s="4">
        <v>1</v>
      </c>
      <c r="F9" s="5" t="s">
        <v>19</v>
      </c>
      <c r="G9" s="4">
        <v>0</v>
      </c>
      <c r="H9" s="6"/>
      <c r="I9" s="4" t="s">
        <v>22</v>
      </c>
      <c r="J9" s="4" t="str">
        <f>IFERROR(VLOOKUP('Gr. B+'!H18,'Gr. B+'!$D$8:$E$13,2,0),"-")</f>
        <v>Paider</v>
      </c>
      <c r="K9" s="5" t="s">
        <v>19</v>
      </c>
      <c r="L9" s="4" t="str">
        <f>IFERROR(VLOOKUP('Gr. B+'!J18,'Gr. B+'!$D$8:$E$13,2,0),"-")</f>
        <v>Bomb</v>
      </c>
      <c r="M9" s="4">
        <v>1</v>
      </c>
      <c r="N9" s="5" t="s">
        <v>19</v>
      </c>
      <c r="O9" s="4">
        <v>2</v>
      </c>
    </row>
    <row r="10" spans="1:15" s="49" customFormat="1" ht="18" customHeight="1" thickBot="1" x14ac:dyDescent="0.35">
      <c r="A10" s="4" t="s">
        <v>3</v>
      </c>
      <c r="B10" s="4" t="str">
        <f>IFERROR(VLOOKUP('Gr. B+'!C19,'Gr. B+'!$D$8:$E$13,2,0),"-")</f>
        <v>Bomb</v>
      </c>
      <c r="C10" s="5" t="s">
        <v>19</v>
      </c>
      <c r="D10" s="4" t="str">
        <f>IFERROR(VLOOKUP('Gr. B+'!E19,'Gr. B+'!$D$8:$E$13,2,0),"-")</f>
        <v>GoaGuru</v>
      </c>
      <c r="E10" s="4">
        <v>4</v>
      </c>
      <c r="F10" s="5" t="s">
        <v>19</v>
      </c>
      <c r="G10" s="4">
        <v>1</v>
      </c>
      <c r="H10" s="6"/>
      <c r="I10" s="4" t="s">
        <v>23</v>
      </c>
      <c r="J10" s="4" t="str">
        <f>IFERROR(VLOOKUP('Gr. B+'!H19,'Gr. B+'!$D$8:$E$13,2,0),"-")</f>
        <v>GoaGuru</v>
      </c>
      <c r="K10" s="5" t="s">
        <v>19</v>
      </c>
      <c r="L10" s="4" t="str">
        <f>IFERROR(VLOOKUP('Gr. B+'!J19,'Gr. B+'!$D$8:$E$13,2,0),"-")</f>
        <v>Bomb</v>
      </c>
      <c r="M10" s="4">
        <v>0</v>
      </c>
      <c r="N10" s="5" t="s">
        <v>19</v>
      </c>
      <c r="O10" s="4">
        <v>5</v>
      </c>
    </row>
    <row r="11" spans="1:15" s="49" customFormat="1" ht="18" customHeight="1" thickBot="1" x14ac:dyDescent="0.35">
      <c r="A11" s="4" t="s">
        <v>4</v>
      </c>
      <c r="B11" s="4" t="str">
        <f>IFERROR(VLOOKUP('Gr. B+'!C20,'Gr. B+'!$D$8:$E$13,2,0),"-")</f>
        <v>Bomb</v>
      </c>
      <c r="C11" s="5" t="s">
        <v>19</v>
      </c>
      <c r="D11" s="4" t="str">
        <f>IFERROR(VLOOKUP('Gr. B+'!E20,'Gr. B+'!$D$8:$E$13,2,0),"-")</f>
        <v>Fifko</v>
      </c>
      <c r="E11" s="4">
        <v>2</v>
      </c>
      <c r="F11" s="5" t="s">
        <v>19</v>
      </c>
      <c r="G11" s="4">
        <v>0</v>
      </c>
      <c r="H11" s="6"/>
      <c r="I11" s="4" t="s">
        <v>24</v>
      </c>
      <c r="J11" s="4" t="str">
        <f>IFERROR(VLOOKUP('Gr. B+'!H20,'Gr. B+'!$D$8:$E$13,2,0),"-")</f>
        <v>Fifko</v>
      </c>
      <c r="K11" s="5" t="s">
        <v>19</v>
      </c>
      <c r="L11" s="4" t="str">
        <f>IFERROR(VLOOKUP('Gr. B+'!J20,'Gr. B+'!$D$8:$E$13,2,0),"-")</f>
        <v>Bomb</v>
      </c>
      <c r="M11" s="4">
        <v>3</v>
      </c>
      <c r="N11" s="5" t="s">
        <v>19</v>
      </c>
      <c r="O11" s="4">
        <v>4</v>
      </c>
    </row>
    <row r="12" spans="1:15" s="49" customFormat="1" ht="18" customHeight="1" thickBot="1" x14ac:dyDescent="0.35">
      <c r="A12" s="4" t="s">
        <v>5</v>
      </c>
      <c r="B12" s="4" t="str">
        <f>IFERROR(VLOOKUP('Gr. B+'!C21,'Gr. B+'!$D$8:$E$13,2,0),"-")</f>
        <v>Klaris</v>
      </c>
      <c r="C12" s="5" t="s">
        <v>19</v>
      </c>
      <c r="D12" s="4" t="str">
        <f>IFERROR(VLOOKUP('Gr. B+'!E21,'Gr. B+'!$D$8:$E$13,2,0),"-")</f>
        <v>AndYpsilon</v>
      </c>
      <c r="E12" s="4">
        <v>1</v>
      </c>
      <c r="F12" s="5" t="s">
        <v>19</v>
      </c>
      <c r="G12" s="4">
        <v>0</v>
      </c>
      <c r="H12" s="6"/>
      <c r="I12" s="4" t="s">
        <v>25</v>
      </c>
      <c r="J12" s="4" t="str">
        <f>IFERROR(VLOOKUP('Gr. B+'!H21,'Gr. B+'!$D$8:$E$13,2,0),"-")</f>
        <v>AndYpsilon</v>
      </c>
      <c r="K12" s="5" t="s">
        <v>19</v>
      </c>
      <c r="L12" s="4" t="str">
        <f>IFERROR(VLOOKUP('Gr. B+'!J21,'Gr. B+'!$D$8:$E$13,2,0),"-")</f>
        <v>Klaris</v>
      </c>
      <c r="M12" s="4">
        <v>1</v>
      </c>
      <c r="N12" s="5" t="s">
        <v>19</v>
      </c>
      <c r="O12" s="4">
        <v>4</v>
      </c>
    </row>
    <row r="13" spans="1:15" s="49" customFormat="1" ht="18" customHeight="1" thickBot="1" x14ac:dyDescent="0.35">
      <c r="A13" s="4" t="s">
        <v>6</v>
      </c>
      <c r="B13" s="4" t="str">
        <f>IFERROR(VLOOKUP('Gr. B+'!C22,'Gr. B+'!$D$8:$E$13,2,0),"-")</f>
        <v>Klaris</v>
      </c>
      <c r="C13" s="5" t="s">
        <v>19</v>
      </c>
      <c r="D13" s="4" t="str">
        <f>IFERROR(VLOOKUP('Gr. B+'!E22,'Gr. B+'!$D$8:$E$13,2,0),"-")</f>
        <v>Paider</v>
      </c>
      <c r="E13" s="4">
        <v>2</v>
      </c>
      <c r="F13" s="5" t="s">
        <v>19</v>
      </c>
      <c r="G13" s="4">
        <v>2</v>
      </c>
      <c r="H13" s="6"/>
      <c r="I13" s="4" t="s">
        <v>26</v>
      </c>
      <c r="J13" s="4" t="str">
        <f>IFERROR(VLOOKUP('Gr. B+'!H22,'Gr. B+'!$D$8:$E$13,2,0),"-")</f>
        <v>Paider</v>
      </c>
      <c r="K13" s="5" t="s">
        <v>19</v>
      </c>
      <c r="L13" s="4" t="str">
        <f>IFERROR(VLOOKUP('Gr. B+'!J22,'Gr. B+'!$D$8:$E$13,2,0),"-")</f>
        <v>Klaris</v>
      </c>
      <c r="M13" s="4">
        <v>2</v>
      </c>
      <c r="N13" s="5" t="s">
        <v>19</v>
      </c>
      <c r="O13" s="4">
        <v>2</v>
      </c>
    </row>
    <row r="14" spans="1:15" s="49" customFormat="1" ht="18" customHeight="1" thickBot="1" x14ac:dyDescent="0.35">
      <c r="A14" s="4" t="s">
        <v>7</v>
      </c>
      <c r="B14" s="4" t="str">
        <f>IFERROR(VLOOKUP('Gr. B+'!C23,'Gr. B+'!$D$8:$E$13,2,0),"-")</f>
        <v>Klaris</v>
      </c>
      <c r="C14" s="5" t="s">
        <v>19</v>
      </c>
      <c r="D14" s="4" t="str">
        <f>IFERROR(VLOOKUP('Gr. B+'!E23,'Gr. B+'!$D$8:$E$13,2,0),"-")</f>
        <v>GoaGuru</v>
      </c>
      <c r="E14" s="4">
        <v>2</v>
      </c>
      <c r="F14" s="5" t="s">
        <v>19</v>
      </c>
      <c r="G14" s="4">
        <v>1</v>
      </c>
      <c r="H14" s="6"/>
      <c r="I14" s="4" t="s">
        <v>27</v>
      </c>
      <c r="J14" s="4" t="str">
        <f>IFERROR(VLOOKUP('Gr. B+'!H23,'Gr. B+'!$D$8:$E$13,2,0),"-")</f>
        <v>GoaGuru</v>
      </c>
      <c r="K14" s="5" t="s">
        <v>19</v>
      </c>
      <c r="L14" s="4" t="str">
        <f>IFERROR(VLOOKUP('Gr. B+'!J23,'Gr. B+'!$D$8:$E$13,2,0),"-")</f>
        <v>Klaris</v>
      </c>
      <c r="M14" s="4">
        <v>2</v>
      </c>
      <c r="N14" s="5" t="s">
        <v>19</v>
      </c>
      <c r="O14" s="4">
        <v>2</v>
      </c>
    </row>
    <row r="15" spans="1:15" s="49" customFormat="1" ht="18" customHeight="1" thickBot="1" x14ac:dyDescent="0.35">
      <c r="A15" s="4" t="s">
        <v>8</v>
      </c>
      <c r="B15" s="4" t="str">
        <f>IFERROR(VLOOKUP('Gr. B+'!C24,'Gr. B+'!$D$8:$E$13,2,0),"-")</f>
        <v>Klaris</v>
      </c>
      <c r="C15" s="5" t="s">
        <v>19</v>
      </c>
      <c r="D15" s="4" t="str">
        <f>IFERROR(VLOOKUP('Gr. B+'!E24,'Gr. B+'!$D$8:$E$13,2,0),"-")</f>
        <v>Fifko</v>
      </c>
      <c r="E15" s="4">
        <v>2</v>
      </c>
      <c r="F15" s="5" t="s">
        <v>19</v>
      </c>
      <c r="G15" s="4">
        <v>1</v>
      </c>
      <c r="H15" s="6"/>
      <c r="I15" s="4" t="s">
        <v>28</v>
      </c>
      <c r="J15" s="4" t="str">
        <f>IFERROR(VLOOKUP('Gr. B+'!H24,'Gr. B+'!$D$8:$E$13,2,0),"-")</f>
        <v>Fifko</v>
      </c>
      <c r="K15" s="5" t="s">
        <v>19</v>
      </c>
      <c r="L15" s="4" t="str">
        <f>IFERROR(VLOOKUP('Gr. B+'!J24,'Gr. B+'!$D$8:$E$13,2,0),"-")</f>
        <v>Klaris</v>
      </c>
      <c r="M15" s="4">
        <v>1</v>
      </c>
      <c r="N15" s="5" t="s">
        <v>19</v>
      </c>
      <c r="O15" s="4">
        <v>3</v>
      </c>
    </row>
    <row r="16" spans="1:15" s="49" customFormat="1" ht="18" customHeight="1" thickBot="1" x14ac:dyDescent="0.35">
      <c r="A16" s="4" t="s">
        <v>9</v>
      </c>
      <c r="B16" s="4" t="str">
        <f>IFERROR(VLOOKUP('Gr. B+'!C25,'Gr. B+'!$D$8:$E$13,2,0),"-")</f>
        <v>AndYpsilon</v>
      </c>
      <c r="C16" s="5" t="s">
        <v>19</v>
      </c>
      <c r="D16" s="4" t="str">
        <f>IFERROR(VLOOKUP('Gr. B+'!E25,'Gr. B+'!$D$8:$E$13,2,0),"-")</f>
        <v>Paider</v>
      </c>
      <c r="E16" s="4">
        <v>5</v>
      </c>
      <c r="F16" s="5" t="s">
        <v>19</v>
      </c>
      <c r="G16" s="4">
        <v>3</v>
      </c>
      <c r="H16" s="6"/>
      <c r="I16" s="4" t="s">
        <v>29</v>
      </c>
      <c r="J16" s="4" t="str">
        <f>IFERROR(VLOOKUP('Gr. B+'!H25,'Gr. B+'!$D$8:$E$13,2,0),"-")</f>
        <v>Paider</v>
      </c>
      <c r="K16" s="5" t="s">
        <v>19</v>
      </c>
      <c r="L16" s="4" t="str">
        <f>IFERROR(VLOOKUP('Gr. B+'!J25,'Gr. B+'!$D$8:$E$13,2,0),"-")</f>
        <v>AndYpsilon</v>
      </c>
      <c r="M16" s="4">
        <v>0</v>
      </c>
      <c r="N16" s="5" t="s">
        <v>19</v>
      </c>
      <c r="O16" s="4">
        <v>3</v>
      </c>
    </row>
    <row r="17" spans="1:15" s="49" customFormat="1" ht="18" customHeight="1" thickBot="1" x14ac:dyDescent="0.35">
      <c r="A17" s="4" t="s">
        <v>10</v>
      </c>
      <c r="B17" s="4" t="str">
        <f>IFERROR(VLOOKUP('Gr. B+'!C26,'Gr. B+'!$D$8:$E$13,2,0),"-")</f>
        <v>AndYpsilon</v>
      </c>
      <c r="C17" s="5" t="s">
        <v>19</v>
      </c>
      <c r="D17" s="4" t="str">
        <f>IFERROR(VLOOKUP('Gr. B+'!E26,'Gr. B+'!$D$8:$E$13,2,0),"-")</f>
        <v>GoaGuru</v>
      </c>
      <c r="E17" s="4">
        <v>4</v>
      </c>
      <c r="F17" s="5" t="s">
        <v>19</v>
      </c>
      <c r="G17" s="4">
        <v>3</v>
      </c>
      <c r="H17" s="6"/>
      <c r="I17" s="4" t="s">
        <v>30</v>
      </c>
      <c r="J17" s="4" t="str">
        <f>IFERROR(VLOOKUP('Gr. B+'!H26,'Gr. B+'!$D$8:$E$13,2,0),"-")</f>
        <v>GoaGuru</v>
      </c>
      <c r="K17" s="5" t="s">
        <v>19</v>
      </c>
      <c r="L17" s="4" t="str">
        <f>IFERROR(VLOOKUP('Gr. B+'!J26,'Gr. B+'!$D$8:$E$13,2,0),"-")</f>
        <v>AndYpsilon</v>
      </c>
      <c r="M17" s="4">
        <v>1</v>
      </c>
      <c r="N17" s="5" t="s">
        <v>19</v>
      </c>
      <c r="O17" s="4">
        <v>2</v>
      </c>
    </row>
    <row r="18" spans="1:15" s="49" customFormat="1" ht="18" customHeight="1" thickBot="1" x14ac:dyDescent="0.35">
      <c r="A18" s="4" t="s">
        <v>11</v>
      </c>
      <c r="B18" s="4" t="str">
        <f>IFERROR(VLOOKUP('Gr. B+'!C27,'Gr. B+'!$D$8:$E$13,2,0),"-")</f>
        <v>AndYpsilon</v>
      </c>
      <c r="C18" s="5" t="s">
        <v>19</v>
      </c>
      <c r="D18" s="4" t="str">
        <f>IFERROR(VLOOKUP('Gr. B+'!E27,'Gr. B+'!$D$8:$E$13,2,0),"-")</f>
        <v>Fifko</v>
      </c>
      <c r="E18" s="4">
        <v>5</v>
      </c>
      <c r="F18" s="5" t="s">
        <v>19</v>
      </c>
      <c r="G18" s="4">
        <v>2</v>
      </c>
      <c r="H18" s="6"/>
      <c r="I18" s="4" t="s">
        <v>31</v>
      </c>
      <c r="J18" s="4" t="str">
        <f>IFERROR(VLOOKUP('Gr. B+'!H27,'Gr. B+'!$D$8:$E$13,2,0),"-")</f>
        <v>Fifko</v>
      </c>
      <c r="K18" s="5" t="s">
        <v>19</v>
      </c>
      <c r="L18" s="4" t="str">
        <f>IFERROR(VLOOKUP('Gr. B+'!J27,'Gr. B+'!$D$8:$E$13,2,0),"-")</f>
        <v>AndYpsilon</v>
      </c>
      <c r="M18" s="4">
        <v>1</v>
      </c>
      <c r="N18" s="5" t="s">
        <v>19</v>
      </c>
      <c r="O18" s="4">
        <v>2</v>
      </c>
    </row>
    <row r="19" spans="1:15" s="49" customFormat="1" ht="18" customHeight="1" thickBot="1" x14ac:dyDescent="0.35">
      <c r="A19" s="4" t="s">
        <v>12</v>
      </c>
      <c r="B19" s="4" t="str">
        <f>IFERROR(VLOOKUP('Gr. B+'!C28,'Gr. B+'!$D$8:$E$13,2,0),"-")</f>
        <v>Paider</v>
      </c>
      <c r="C19" s="5" t="s">
        <v>19</v>
      </c>
      <c r="D19" s="4" t="str">
        <f>IFERROR(VLOOKUP('Gr. B+'!E28,'Gr. B+'!$D$8:$E$13,2,0),"-")</f>
        <v>GoaGuru</v>
      </c>
      <c r="E19" s="4">
        <v>1</v>
      </c>
      <c r="F19" s="5" t="s">
        <v>19</v>
      </c>
      <c r="G19" s="4">
        <v>1</v>
      </c>
      <c r="H19" s="6"/>
      <c r="I19" s="4" t="s">
        <v>32</v>
      </c>
      <c r="J19" s="4" t="str">
        <f>IFERROR(VLOOKUP('Gr. B+'!H28,'Gr. B+'!$D$8:$E$13,2,0),"-")</f>
        <v>GoaGuru</v>
      </c>
      <c r="K19" s="5" t="s">
        <v>19</v>
      </c>
      <c r="L19" s="4" t="str">
        <f>IFERROR(VLOOKUP('Gr. B+'!J28,'Gr. B+'!$D$8:$E$13,2,0),"-")</f>
        <v>Paider</v>
      </c>
      <c r="M19" s="4">
        <v>0</v>
      </c>
      <c r="N19" s="5" t="s">
        <v>19</v>
      </c>
      <c r="O19" s="4">
        <v>0</v>
      </c>
    </row>
    <row r="20" spans="1:15" s="49" customFormat="1" ht="18" customHeight="1" thickBot="1" x14ac:dyDescent="0.35">
      <c r="A20" s="4" t="s">
        <v>13</v>
      </c>
      <c r="B20" s="4" t="str">
        <f>IFERROR(VLOOKUP('Gr. B+'!C29,'Gr. B+'!$D$8:$E$13,2,0),"-")</f>
        <v>Paider</v>
      </c>
      <c r="C20" s="5" t="s">
        <v>19</v>
      </c>
      <c r="D20" s="4" t="str">
        <f>IFERROR(VLOOKUP('Gr. B+'!E29,'Gr. B+'!$D$8:$E$13,2,0),"-")</f>
        <v>Fifko</v>
      </c>
      <c r="E20" s="4">
        <v>4</v>
      </c>
      <c r="F20" s="5" t="s">
        <v>19</v>
      </c>
      <c r="G20" s="4">
        <v>1</v>
      </c>
      <c r="H20" s="6"/>
      <c r="I20" s="4" t="s">
        <v>33</v>
      </c>
      <c r="J20" s="4" t="str">
        <f>IFERROR(VLOOKUP('Gr. B+'!H29,'Gr. B+'!$D$8:$E$13,2,0),"-")</f>
        <v>Fifko</v>
      </c>
      <c r="K20" s="5" t="s">
        <v>19</v>
      </c>
      <c r="L20" s="4" t="str">
        <f>IFERROR(VLOOKUP('Gr. B+'!J29,'Gr. B+'!$D$8:$E$13,2,0),"-")</f>
        <v>Paider</v>
      </c>
      <c r="M20" s="4">
        <v>2</v>
      </c>
      <c r="N20" s="5" t="s">
        <v>19</v>
      </c>
      <c r="O20" s="4">
        <v>0</v>
      </c>
    </row>
    <row r="21" spans="1:15" s="49" customFormat="1" ht="18" customHeight="1" thickBot="1" x14ac:dyDescent="0.35">
      <c r="A21" s="4" t="s">
        <v>14</v>
      </c>
      <c r="B21" s="4" t="str">
        <f>IFERROR(VLOOKUP('Gr. B+'!C30,'Gr. B+'!$D$8:$E$13,2,0),"-")</f>
        <v>GoaGuru</v>
      </c>
      <c r="C21" s="5" t="s">
        <v>19</v>
      </c>
      <c r="D21" s="4" t="str">
        <f>IFERROR(VLOOKUP('Gr. B+'!E30,'Gr. B+'!$D$8:$E$13,2,0),"-")</f>
        <v>Fifko</v>
      </c>
      <c r="E21" s="4">
        <v>0</v>
      </c>
      <c r="F21" s="5" t="s">
        <v>19</v>
      </c>
      <c r="G21" s="4">
        <v>1</v>
      </c>
      <c r="H21" s="6"/>
      <c r="I21" s="4" t="s">
        <v>34</v>
      </c>
      <c r="J21" s="4" t="str">
        <f>IFERROR(VLOOKUP('Gr. B+'!H30,'Gr. B+'!$D$8:$E$13,2,0),"-")</f>
        <v>Fifko</v>
      </c>
      <c r="K21" s="5" t="s">
        <v>19</v>
      </c>
      <c r="L21" s="4" t="str">
        <f>IFERROR(VLOOKUP('Gr. B+'!J30,'Gr. B+'!$D$8:$E$13,2,0),"-")</f>
        <v>GoaGuru</v>
      </c>
      <c r="M21" s="4">
        <v>3</v>
      </c>
      <c r="N21" s="5" t="s">
        <v>19</v>
      </c>
      <c r="O21" s="4">
        <v>0</v>
      </c>
    </row>
  </sheetData>
  <mergeCells count="11">
    <mergeCell ref="B1:D1"/>
    <mergeCell ref="J2:L2"/>
    <mergeCell ref="J3:L3"/>
    <mergeCell ref="J4:L4"/>
    <mergeCell ref="J1:L1"/>
    <mergeCell ref="E2:I3"/>
    <mergeCell ref="E6:G6"/>
    <mergeCell ref="M6:O6"/>
    <mergeCell ref="B2:D2"/>
    <mergeCell ref="B3:D3"/>
    <mergeCell ref="B4:D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workbookViewId="0">
      <selection activeCell="A4" sqref="A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6" t="s">
        <v>75</v>
      </c>
      <c r="E2" s="287"/>
      <c r="F2" s="287"/>
      <c r="G2" s="287"/>
      <c r="H2" s="288"/>
    </row>
    <row r="3" spans="2:10" ht="14.4" customHeight="1" x14ac:dyDescent="0.3">
      <c r="D3" s="283"/>
      <c r="E3" s="289"/>
      <c r="F3" s="289"/>
      <c r="G3" s="289"/>
      <c r="H3" s="285"/>
    </row>
    <row r="4" spans="2:10" ht="14.4" customHeight="1" x14ac:dyDescent="0.3">
      <c r="D4" s="283"/>
      <c r="E4" s="289"/>
      <c r="F4" s="289"/>
      <c r="G4" s="289"/>
      <c r="H4" s="285"/>
    </row>
    <row r="5" spans="2:10" ht="15" thickBot="1" x14ac:dyDescent="0.35">
      <c r="D5" s="290"/>
      <c r="E5" s="291"/>
      <c r="F5" s="291"/>
      <c r="G5" s="291"/>
      <c r="H5" s="292"/>
    </row>
    <row r="6" spans="2:10" ht="15" thickBot="1" x14ac:dyDescent="0.35"/>
    <row r="7" spans="2:10" ht="15" thickBot="1" x14ac:dyDescent="0.35">
      <c r="C7" s="7"/>
      <c r="D7" s="12" t="s">
        <v>49</v>
      </c>
      <c r="E7" s="293" t="s">
        <v>36</v>
      </c>
      <c r="F7" s="294"/>
      <c r="G7" s="294"/>
      <c r="H7" s="295"/>
      <c r="I7" s="10"/>
    </row>
    <row r="8" spans="2:10" x14ac:dyDescent="0.3">
      <c r="C8" s="8"/>
      <c r="D8" s="15">
        <v>1</v>
      </c>
      <c r="E8" s="267" t="s">
        <v>119</v>
      </c>
      <c r="F8" s="268"/>
      <c r="G8" s="268"/>
      <c r="H8" s="269"/>
      <c r="I8" s="11"/>
    </row>
    <row r="9" spans="2:10" x14ac:dyDescent="0.3">
      <c r="C9" s="8"/>
      <c r="D9" s="16">
        <v>2</v>
      </c>
      <c r="E9" s="254" t="s">
        <v>120</v>
      </c>
      <c r="F9" s="255"/>
      <c r="G9" s="255"/>
      <c r="H9" s="256"/>
      <c r="I9" s="11"/>
    </row>
    <row r="10" spans="2:10" x14ac:dyDescent="0.3">
      <c r="C10" s="8"/>
      <c r="D10" s="16">
        <v>3</v>
      </c>
      <c r="E10" s="254" t="s">
        <v>121</v>
      </c>
      <c r="F10" s="255"/>
      <c r="G10" s="255"/>
      <c r="H10" s="256"/>
      <c r="I10" s="11"/>
    </row>
    <row r="11" spans="2:10" x14ac:dyDescent="0.3">
      <c r="C11" s="8"/>
      <c r="D11" s="16">
        <v>4</v>
      </c>
      <c r="E11" s="254" t="s">
        <v>122</v>
      </c>
      <c r="F11" s="255"/>
      <c r="G11" s="255"/>
      <c r="H11" s="256"/>
      <c r="I11" s="11"/>
    </row>
    <row r="12" spans="2:10" x14ac:dyDescent="0.3">
      <c r="C12" s="8"/>
      <c r="D12" s="16">
        <v>5</v>
      </c>
      <c r="E12" s="254" t="s">
        <v>123</v>
      </c>
      <c r="F12" s="255"/>
      <c r="G12" s="255"/>
      <c r="H12" s="256"/>
      <c r="I12" s="11"/>
    </row>
    <row r="13" spans="2:10" ht="15" thickBot="1" x14ac:dyDescent="0.35">
      <c r="C13" s="8"/>
      <c r="D13" s="17">
        <v>6</v>
      </c>
      <c r="E13" s="257" t="s">
        <v>124</v>
      </c>
      <c r="F13" s="258"/>
      <c r="G13" s="258"/>
      <c r="H13" s="259"/>
      <c r="I13" s="11"/>
    </row>
    <row r="14" spans="2:10" ht="15" thickBot="1" x14ac:dyDescent="0.35"/>
    <row r="15" spans="2:10" ht="16.2" thickBot="1" x14ac:dyDescent="0.35">
      <c r="B15" s="214" t="s">
        <v>18</v>
      </c>
      <c r="C15" s="214" t="s">
        <v>15</v>
      </c>
      <c r="D15" s="214"/>
      <c r="E15" s="214" t="s">
        <v>16</v>
      </c>
      <c r="F15" s="3"/>
      <c r="G15" s="214" t="s">
        <v>18</v>
      </c>
      <c r="H15" s="214" t="s">
        <v>15</v>
      </c>
      <c r="I15" s="214"/>
      <c r="J15" s="214" t="s">
        <v>16</v>
      </c>
    </row>
    <row r="16" spans="2:10" ht="16.2" thickBot="1" x14ac:dyDescent="0.35">
      <c r="B16" s="4" t="s">
        <v>0</v>
      </c>
      <c r="C16" s="4">
        <v>1</v>
      </c>
      <c r="D16" s="5" t="s">
        <v>19</v>
      </c>
      <c r="E16" s="4">
        <v>2</v>
      </c>
      <c r="F16" s="6"/>
      <c r="G16" s="4" t="s">
        <v>20</v>
      </c>
      <c r="H16" s="4">
        <v>2</v>
      </c>
      <c r="I16" s="5" t="s">
        <v>19</v>
      </c>
      <c r="J16" s="4">
        <v>1</v>
      </c>
    </row>
    <row r="17" spans="2:10" ht="16.2" thickBot="1" x14ac:dyDescent="0.35">
      <c r="B17" s="4" t="s">
        <v>1</v>
      </c>
      <c r="C17" s="4">
        <v>1</v>
      </c>
      <c r="D17" s="5" t="s">
        <v>19</v>
      </c>
      <c r="E17" s="4">
        <v>3</v>
      </c>
      <c r="F17" s="6"/>
      <c r="G17" s="4" t="s">
        <v>21</v>
      </c>
      <c r="H17" s="4">
        <v>3</v>
      </c>
      <c r="I17" s="5" t="s">
        <v>19</v>
      </c>
      <c r="J17" s="4">
        <v>1</v>
      </c>
    </row>
    <row r="18" spans="2:10" ht="16.2" thickBot="1" x14ac:dyDescent="0.35">
      <c r="B18" s="4" t="s">
        <v>2</v>
      </c>
      <c r="C18" s="4">
        <v>1</v>
      </c>
      <c r="D18" s="5" t="s">
        <v>19</v>
      </c>
      <c r="E18" s="4">
        <v>4</v>
      </c>
      <c r="F18" s="6"/>
      <c r="G18" s="4" t="s">
        <v>22</v>
      </c>
      <c r="H18" s="4">
        <v>4</v>
      </c>
      <c r="I18" s="5" t="s">
        <v>19</v>
      </c>
      <c r="J18" s="4">
        <v>1</v>
      </c>
    </row>
    <row r="19" spans="2:10" ht="16.2" thickBot="1" x14ac:dyDescent="0.35">
      <c r="B19" s="4" t="s">
        <v>3</v>
      </c>
      <c r="C19" s="4">
        <v>1</v>
      </c>
      <c r="D19" s="5" t="s">
        <v>19</v>
      </c>
      <c r="E19" s="4">
        <v>5</v>
      </c>
      <c r="F19" s="6"/>
      <c r="G19" s="4" t="s">
        <v>23</v>
      </c>
      <c r="H19" s="4">
        <v>5</v>
      </c>
      <c r="I19" s="5" t="s">
        <v>19</v>
      </c>
      <c r="J19" s="4">
        <v>1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6</v>
      </c>
      <c r="F20" s="6"/>
      <c r="G20" s="4" t="s">
        <v>24</v>
      </c>
      <c r="H20" s="4">
        <v>6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2</v>
      </c>
      <c r="D21" s="5" t="s">
        <v>19</v>
      </c>
      <c r="E21" s="4">
        <v>3</v>
      </c>
      <c r="F21" s="6"/>
      <c r="G21" s="4" t="s">
        <v>25</v>
      </c>
      <c r="H21" s="4">
        <v>3</v>
      </c>
      <c r="I21" s="5" t="s">
        <v>19</v>
      </c>
      <c r="J21" s="4">
        <v>2</v>
      </c>
    </row>
    <row r="22" spans="2:10" ht="16.2" thickBot="1" x14ac:dyDescent="0.35">
      <c r="B22" s="4" t="s">
        <v>6</v>
      </c>
      <c r="C22" s="4">
        <v>2</v>
      </c>
      <c r="D22" s="5" t="s">
        <v>19</v>
      </c>
      <c r="E22" s="4">
        <v>4</v>
      </c>
      <c r="F22" s="6"/>
      <c r="G22" s="4" t="s">
        <v>26</v>
      </c>
      <c r="H22" s="4">
        <v>4</v>
      </c>
      <c r="I22" s="5" t="s">
        <v>19</v>
      </c>
      <c r="J22" s="4">
        <v>2</v>
      </c>
    </row>
    <row r="23" spans="2:10" ht="16.2" thickBot="1" x14ac:dyDescent="0.35">
      <c r="B23" s="4" t="s">
        <v>7</v>
      </c>
      <c r="C23" s="4">
        <v>2</v>
      </c>
      <c r="D23" s="5" t="s">
        <v>19</v>
      </c>
      <c r="E23" s="4">
        <v>5</v>
      </c>
      <c r="F23" s="6"/>
      <c r="G23" s="4" t="s">
        <v>27</v>
      </c>
      <c r="H23" s="4">
        <v>5</v>
      </c>
      <c r="I23" s="5" t="s">
        <v>19</v>
      </c>
      <c r="J23" s="4">
        <v>2</v>
      </c>
    </row>
    <row r="24" spans="2:10" ht="16.2" thickBot="1" x14ac:dyDescent="0.35">
      <c r="B24" s="4" t="s">
        <v>8</v>
      </c>
      <c r="C24" s="4">
        <v>2</v>
      </c>
      <c r="D24" s="5" t="s">
        <v>19</v>
      </c>
      <c r="E24" s="4">
        <v>6</v>
      </c>
      <c r="F24" s="6"/>
      <c r="G24" s="4" t="s">
        <v>28</v>
      </c>
      <c r="H24" s="4">
        <v>6</v>
      </c>
      <c r="I24" s="5" t="s">
        <v>19</v>
      </c>
      <c r="J24" s="4">
        <v>2</v>
      </c>
    </row>
    <row r="25" spans="2:10" ht="16.2" thickBot="1" x14ac:dyDescent="0.35">
      <c r="B25" s="4" t="s">
        <v>9</v>
      </c>
      <c r="C25" s="4">
        <v>3</v>
      </c>
      <c r="D25" s="5" t="s">
        <v>19</v>
      </c>
      <c r="E25" s="4">
        <v>4</v>
      </c>
      <c r="F25" s="6"/>
      <c r="G25" s="4" t="s">
        <v>29</v>
      </c>
      <c r="H25" s="4">
        <v>4</v>
      </c>
      <c r="I25" s="5" t="s">
        <v>19</v>
      </c>
      <c r="J25" s="4">
        <v>3</v>
      </c>
    </row>
    <row r="26" spans="2:10" ht="16.2" thickBot="1" x14ac:dyDescent="0.35">
      <c r="B26" s="4" t="s">
        <v>10</v>
      </c>
      <c r="C26" s="4">
        <v>3</v>
      </c>
      <c r="D26" s="5" t="s">
        <v>19</v>
      </c>
      <c r="E26" s="4">
        <v>5</v>
      </c>
      <c r="F26" s="6"/>
      <c r="G26" s="4" t="s">
        <v>30</v>
      </c>
      <c r="H26" s="4">
        <v>5</v>
      </c>
      <c r="I26" s="5" t="s">
        <v>19</v>
      </c>
      <c r="J26" s="4">
        <v>3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6</v>
      </c>
      <c r="F27" s="6"/>
      <c r="G27" s="4" t="s">
        <v>31</v>
      </c>
      <c r="H27" s="4">
        <v>6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4</v>
      </c>
      <c r="D28" s="5" t="s">
        <v>19</v>
      </c>
      <c r="E28" s="4">
        <v>5</v>
      </c>
      <c r="F28" s="6"/>
      <c r="G28" s="4" t="s">
        <v>32</v>
      </c>
      <c r="H28" s="4">
        <v>5</v>
      </c>
      <c r="I28" s="5" t="s">
        <v>19</v>
      </c>
      <c r="J28" s="4">
        <v>4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6</v>
      </c>
      <c r="F29" s="6"/>
      <c r="G29" s="4" t="s">
        <v>33</v>
      </c>
      <c r="H29" s="4">
        <v>6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5</v>
      </c>
      <c r="D30" s="5" t="s">
        <v>19</v>
      </c>
      <c r="E30" s="4">
        <v>6</v>
      </c>
      <c r="F30" s="6"/>
      <c r="G30" s="4" t="s">
        <v>34</v>
      </c>
      <c r="H30" s="4">
        <v>6</v>
      </c>
      <c r="I30" s="5" t="s">
        <v>19</v>
      </c>
      <c r="J30" s="4">
        <v>5</v>
      </c>
    </row>
  </sheetData>
  <mergeCells count="8">
    <mergeCell ref="E13:H13"/>
    <mergeCell ref="D2:H5"/>
    <mergeCell ref="E7:H7"/>
    <mergeCell ref="E8:H8"/>
    <mergeCell ref="E9:H9"/>
    <mergeCell ref="E10:H10"/>
    <mergeCell ref="E11:H11"/>
    <mergeCell ref="E12:H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36</vt:i4>
      </vt:variant>
      <vt:variant>
        <vt:lpstr>Névvel ellátott tartományok</vt:lpstr>
      </vt:variant>
      <vt:variant>
        <vt:i4>40</vt:i4>
      </vt:variant>
    </vt:vector>
  </HeadingPairs>
  <TitlesOfParts>
    <vt:vector size="76" baseType="lpstr">
      <vt:lpstr>Table</vt:lpstr>
      <vt:lpstr>Knockout</vt:lpstr>
      <vt:lpstr>Knockout Paprika</vt:lpstr>
      <vt:lpstr>Table Last 16 help</vt:lpstr>
      <vt:lpstr>Gr. A</vt:lpstr>
      <vt:lpstr>Gr. A+</vt:lpstr>
      <vt:lpstr>Gr. A res</vt:lpstr>
      <vt:lpstr>Gr. B</vt:lpstr>
      <vt:lpstr>Gr. B+</vt:lpstr>
      <vt:lpstr>Gr. B res</vt:lpstr>
      <vt:lpstr>Gr. C</vt:lpstr>
      <vt:lpstr>Gr. C+</vt:lpstr>
      <vt:lpstr>Gr. C res</vt:lpstr>
      <vt:lpstr>Gr. D</vt:lpstr>
      <vt:lpstr>Gr. D+</vt:lpstr>
      <vt:lpstr>Gr. D res</vt:lpstr>
      <vt:lpstr>Gr. E</vt:lpstr>
      <vt:lpstr>Gr. E+</vt:lpstr>
      <vt:lpstr>Gr. E res</vt:lpstr>
      <vt:lpstr>Gr. F</vt:lpstr>
      <vt:lpstr>Gr. F+</vt:lpstr>
      <vt:lpstr>Gr. F res</vt:lpstr>
      <vt:lpstr>Players-Teams</vt:lpstr>
      <vt:lpstr>Master</vt:lpstr>
      <vt:lpstr>Master+</vt:lpstr>
      <vt:lpstr>Master res</vt:lpstr>
      <vt:lpstr>Super</vt:lpstr>
      <vt:lpstr>Super+</vt:lpstr>
      <vt:lpstr>Super res</vt:lpstr>
      <vt:lpstr>2ndA</vt:lpstr>
      <vt:lpstr>2ndA+</vt:lpstr>
      <vt:lpstr>2ndA res</vt:lpstr>
      <vt:lpstr>2ndB</vt:lpstr>
      <vt:lpstr>2ndB+</vt:lpstr>
      <vt:lpstr>2ndB res</vt:lpstr>
      <vt:lpstr>2ndAB</vt:lpstr>
      <vt:lpstr>'2ndA res'!home</vt:lpstr>
      <vt:lpstr>'2ndB res'!home</vt:lpstr>
      <vt:lpstr>'Gr. A res'!home</vt:lpstr>
      <vt:lpstr>'Gr. B res'!home</vt:lpstr>
      <vt:lpstr>'Gr. C res'!home</vt:lpstr>
      <vt:lpstr>'Gr. D res'!home</vt:lpstr>
      <vt:lpstr>'Gr. E res'!home</vt:lpstr>
      <vt:lpstr>'Gr. F res'!home</vt:lpstr>
      <vt:lpstr>'Master res'!home</vt:lpstr>
      <vt:lpstr>'Super res'!home</vt:lpstr>
      <vt:lpstr>'2ndA res'!homescore</vt:lpstr>
      <vt:lpstr>'2ndB res'!homescore</vt:lpstr>
      <vt:lpstr>'Gr. A res'!homescore</vt:lpstr>
      <vt:lpstr>'Gr. B res'!homescore</vt:lpstr>
      <vt:lpstr>'Gr. C res'!homescore</vt:lpstr>
      <vt:lpstr>'Gr. D res'!homescore</vt:lpstr>
      <vt:lpstr>'Gr. E res'!homescore</vt:lpstr>
      <vt:lpstr>'Gr. F res'!homescore</vt:lpstr>
      <vt:lpstr>'Master res'!homescore</vt:lpstr>
      <vt:lpstr>'Super res'!homescore</vt:lpstr>
      <vt:lpstr>'2ndA res'!visitor</vt:lpstr>
      <vt:lpstr>'2ndB res'!visitor</vt:lpstr>
      <vt:lpstr>'Gr. A res'!visitor</vt:lpstr>
      <vt:lpstr>'Gr. B res'!visitor</vt:lpstr>
      <vt:lpstr>'Gr. C res'!visitor</vt:lpstr>
      <vt:lpstr>'Gr. D res'!visitor</vt:lpstr>
      <vt:lpstr>'Gr. E res'!visitor</vt:lpstr>
      <vt:lpstr>'Gr. F res'!visitor</vt:lpstr>
      <vt:lpstr>'Master res'!visitor</vt:lpstr>
      <vt:lpstr>'Super res'!visitor</vt:lpstr>
      <vt:lpstr>'2ndA res'!visitorscore</vt:lpstr>
      <vt:lpstr>'2ndB res'!visitorscore</vt:lpstr>
      <vt:lpstr>'Gr. A res'!visitorscore</vt:lpstr>
      <vt:lpstr>'Gr. B res'!visitorscore</vt:lpstr>
      <vt:lpstr>'Gr. C res'!visitorscore</vt:lpstr>
      <vt:lpstr>'Gr. D res'!visitorscore</vt:lpstr>
      <vt:lpstr>'Gr. E res'!visitorscore</vt:lpstr>
      <vt:lpstr>'Gr. F res'!visitorscore</vt:lpstr>
      <vt:lpstr>'Master res'!visitorscore</vt:lpstr>
      <vt:lpstr>'Super res'!visitorscore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 Roll</dc:creator>
  <cp:lastModifiedBy>Hauck, Zoltan</cp:lastModifiedBy>
  <cp:lastPrinted>2017-07-25T17:00:23Z</cp:lastPrinted>
  <dcterms:created xsi:type="dcterms:W3CDTF">2016-08-08T16:07:05Z</dcterms:created>
  <dcterms:modified xsi:type="dcterms:W3CDTF">2017-08-07T13:38:48Z</dcterms:modified>
</cp:coreProperties>
</file>